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1" activeTab="0"/>
  </bookViews>
  <sheets>
    <sheet name="INDEX" sheetId="1" r:id="rId1"/>
    <sheet name="Anne-1" sheetId="2" r:id="rId2"/>
    <sheet name="Anne-2" sheetId="3" r:id="rId3"/>
    <sheet name="Anne-3" sheetId="4" r:id="rId4"/>
    <sheet name="Anne-4" sheetId="5" r:id="rId5"/>
    <sheet name="Anne-5" sheetId="6" r:id="rId6"/>
    <sheet name="Anne-6" sheetId="7" r:id="rId7"/>
    <sheet name="Anne-7" sheetId="8" r:id="rId8"/>
    <sheet name="Anne-8" sheetId="9" r:id="rId9"/>
    <sheet name="Anne-9" sheetId="10" r:id="rId10"/>
    <sheet name="Anne-10" sheetId="11" r:id="rId11"/>
    <sheet name="Anne-11" sheetId="12" r:id="rId12"/>
  </sheets>
  <externalReferences>
    <externalReference r:id="rId15"/>
  </externalReferences>
  <definedNames>
    <definedName name="_xlnm.Print_Area" localSheetId="1">'Anne-1'!$A$1:$AD$46</definedName>
    <definedName name="_xlnm.Print_Area" localSheetId="10">'Anne-10'!$A$1:$P$24</definedName>
    <definedName name="_xlnm.Print_Area" localSheetId="11">'Anne-11'!$A$1:$O$36</definedName>
    <definedName name="_xlnm.Print_Area" localSheetId="2">'Anne-2'!$A$1:$L$26</definedName>
    <definedName name="_xlnm.Print_Area" localSheetId="3">'Anne-3'!$A$1:$AK$36</definedName>
    <definedName name="_xlnm.Print_Area" localSheetId="4">'Anne-4'!$A$1:$V$45</definedName>
    <definedName name="_xlnm.Print_Area" localSheetId="5">'Anne-5'!$A$1:$T$46</definedName>
    <definedName name="_xlnm.Print_Area" localSheetId="6">'Anne-6'!$A$1:$AA$46</definedName>
    <definedName name="_xlnm.Print_Area" localSheetId="7">'Anne-7'!$A$1:$O$44</definedName>
    <definedName name="_xlnm.Print_Area" localSheetId="8">'Anne-8'!$A$1:$P$45</definedName>
    <definedName name="_xlnm.Print_Area" localSheetId="9">'Anne-9'!$A$1:$R$26</definedName>
    <definedName name="_xlnm.Print_Titles" localSheetId="7">'Anne-7'!$A:$B</definedName>
  </definedNames>
  <calcPr fullCalcOnLoad="1"/>
</workbook>
</file>

<file path=xl/comments5.xml><?xml version="1.0" encoding="utf-8"?>
<comments xmlns="http://schemas.openxmlformats.org/spreadsheetml/2006/main">
  <authors>
    <author>adltp</author>
  </authors>
  <commentList>
    <comment ref="AC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D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<sst xmlns="http://schemas.openxmlformats.org/spreadsheetml/2006/main" count="759" uniqueCount="251">
  <si>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</si>
  <si>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</si>
  <si>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</si>
  <si>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</si>
  <si>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</si>
  <si>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</si>
  <si>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</si>
  <si>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</si>
  <si>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</si>
  <si>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</si>
  <si>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</si>
  <si>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</si>
  <si>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</si>
  <si>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</si>
  <si>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</si>
  <si>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</si>
  <si>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</si>
  <si>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</si>
  <si>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</si>
  <si>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</si>
  <si>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</si>
  <si>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</si>
  <si>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</si>
  <si>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</si>
  <si>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</si>
  <si>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</si>
  <si>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</si>
  <si>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</si>
  <si>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</si>
  <si>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</si>
  <si>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</si>
  <si>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</si>
  <si>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</si>
  <si>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</si>
  <si>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</si>
  <si>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</si>
  <si>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</si>
  <si>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</si>
  <si>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</si>
  <si>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</si>
  <si>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</si>
  <si>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</si>
  <si>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</si>
  <si>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</si>
  <si>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</si>
  <si>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</si>
  <si>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</si>
  <si>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</si>
  <si>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</si>
  <si>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</si>
  <si>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</si>
  <si>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</si>
  <si>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</si>
  <si>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</si>
  <si>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</si>
  <si>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</si>
  <si>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</si>
  <si>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</si>
  <si>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Reliance Infocomm. Ltd.(M)</t>
  </si>
  <si>
    <t>Tata Teleservices Ltd.(M)</t>
  </si>
  <si>
    <t>Total PSU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</si>
  <si>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</si>
  <si>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</si>
  <si>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</si>
  <si>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</si>
  <si>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</si>
  <si>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</si>
  <si>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</si>
  <si>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</si>
  <si>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</si>
  <si>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</si>
  <si>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</si>
  <si>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</si>
  <si>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</si>
  <si>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</si>
  <si>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</si>
  <si>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</si>
  <si>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</si>
  <si>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</si>
  <si>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</si>
  <si>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Grand Total WLL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</si>
  <si>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</si>
  <si>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</si>
  <si>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</si>
  <si>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</si>
  <si>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</si>
  <si>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</si>
  <si>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</si>
  <si>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</si>
  <si>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</si>
  <si>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</si>
  <si>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</si>
  <si>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</si>
  <si>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</si>
  <si>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</si>
  <si>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</si>
  <si>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</si>
  <si>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</si>
  <si>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</si>
  <si>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</si>
  <si>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</si>
  <si>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</si>
  <si>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</si>
  <si>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</si>
  <si>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</si>
  <si>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</si>
  <si>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</si>
  <si>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</si>
  <si>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</si>
  <si>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</si>
  <si>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</si>
  <si>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</si>
  <si>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</si>
  <si>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</si>
  <si>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</si>
  <si>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</si>
  <si>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</si>
  <si>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</si>
  <si>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</si>
  <si>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</si>
  <si>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</si>
  <si>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</si>
  <si>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</si>
  <si>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</si>
  <si>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</si>
  <si>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</si>
  <si>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</si>
  <si>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</si>
  <si>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% Tele density</t>
  </si>
  <si>
    <t>% Market share of BSNL</t>
  </si>
  <si>
    <t>-</t>
  </si>
  <si>
    <t>WLL</t>
  </si>
  <si>
    <t xml:space="preserve">Reliance </t>
  </si>
  <si>
    <t>Annexure-7</t>
  </si>
  <si>
    <t>Uninor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</si>
  <si>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</si>
  <si>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</si>
  <si>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</si>
  <si>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</si>
  <si>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</si>
  <si>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</si>
  <si>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</si>
  <si>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</si>
  <si>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</si>
  <si>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</si>
  <si>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</si>
  <si>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</si>
  <si>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</si>
  <si>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</si>
  <si>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</si>
  <si>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</si>
  <si>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</si>
  <si>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</si>
  <si>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</si>
  <si>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</si>
  <si>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</si>
  <si>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</si>
  <si>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</si>
  <si>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</si>
  <si>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</si>
  <si>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</si>
  <si>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</si>
  <si>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</si>
  <si>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</si>
  <si>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</si>
  <si>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</si>
  <si>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</si>
  <si>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</si>
  <si>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</si>
  <si>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</si>
  <si>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</si>
  <si>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</si>
  <si>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</si>
  <si>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</si>
  <si>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</si>
  <si>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</si>
  <si>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</si>
  <si>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</si>
  <si>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</si>
  <si>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Sub:- Growth in Telecom Sector during last Eleven years</t>
  </si>
  <si>
    <t>Connection</t>
  </si>
  <si>
    <t>Population (000)</t>
  </si>
  <si>
    <t>Teledensity</t>
  </si>
  <si>
    <t>31.03.2012</t>
  </si>
  <si>
    <t>Private Operators</t>
  </si>
  <si>
    <t>Loop Mobile</t>
  </si>
  <si>
    <t xml:space="preserve">Quadrant Televentures Ltd. </t>
  </si>
  <si>
    <t>Sistema Shyam</t>
  </si>
  <si>
    <t xml:space="preserve">Quadrant Televentures </t>
  </si>
  <si>
    <t xml:space="preserve">No. 1-2(1)/Market Share/2012-CP&amp;M </t>
  </si>
  <si>
    <t>31.03.2013</t>
  </si>
  <si>
    <t>#</t>
  </si>
  <si>
    <t>(1)  West Bengal Telecom Circle Licensing Area includes A &amp; N Circle</t>
  </si>
  <si>
    <t>Note: #</t>
  </si>
  <si>
    <t>Vodaphone</t>
  </si>
  <si>
    <t>Tata</t>
  </si>
  <si>
    <t>Loop</t>
  </si>
  <si>
    <t>Name of Operators</t>
  </si>
  <si>
    <t>Wireless Subscribers</t>
  </si>
  <si>
    <t>VLR Subscribers</t>
  </si>
  <si>
    <t>% of Active subscribers</t>
  </si>
  <si>
    <t>Annexure-11</t>
  </si>
  <si>
    <t>(Figures in Million)</t>
  </si>
  <si>
    <t>Source: TRAI Report</t>
  </si>
  <si>
    <t>Vodafone*</t>
  </si>
  <si>
    <t>Note: %age market share is calculated only for those cases in which BSNL's figure and Industry figures are both positive.</t>
  </si>
  <si>
    <t>Annexure-2.</t>
  </si>
  <si>
    <t xml:space="preserve"> Annexure-3.</t>
  </si>
  <si>
    <t>Annexure-4.</t>
  </si>
  <si>
    <t>Annexure-5.</t>
  </si>
  <si>
    <t>Annexure-6.</t>
  </si>
  <si>
    <t>Annexure-7.</t>
  </si>
  <si>
    <t>Annexure-8.</t>
  </si>
  <si>
    <t>Annexure-9.</t>
  </si>
  <si>
    <t>Telephone connections &amp; Market share of BSNL during last eleven years</t>
  </si>
  <si>
    <t>Annexure-10.</t>
  </si>
  <si>
    <t>Annexure-11.</t>
  </si>
  <si>
    <t>INDEX</t>
  </si>
  <si>
    <t>.</t>
  </si>
  <si>
    <t>30.04.2013</t>
  </si>
  <si>
    <t>Conn. As on 31.03.2013</t>
  </si>
  <si>
    <t>Addition during 2013-14</t>
  </si>
  <si>
    <t>30.06.2013</t>
  </si>
  <si>
    <t>Sub:- Tele-density Circlewise urban Rural Area &amp; All operators as on 30/06/2013.</t>
  </si>
  <si>
    <t>Sub:- Total telephones connections operatorwise  &amp; Market Share as on 30.06.2013</t>
  </si>
  <si>
    <t>SUB: %age contribution of BSNL in Telephone connection Achievement during 2013-14 (upto 30.06.2013)</t>
  </si>
  <si>
    <t>Achievement during 2013-14 (upto 30.06.2013)</t>
  </si>
  <si>
    <t>Sub: Telephone connection Provided by BSNL &amp; All operators during 2012-13 and 2013-14 (upto 30.06.13)</t>
  </si>
  <si>
    <t>Sub:- Total telephones Operator &amp; Circlewise as on 30/06/2013.</t>
  </si>
  <si>
    <t>Conn. As on 31.05.2013</t>
  </si>
  <si>
    <t>Addition during Jun 2013</t>
  </si>
  <si>
    <t>Sub:- Wireless telephones Cellular Operator &amp; circle wise as on 30/06/2013</t>
  </si>
  <si>
    <t>Sub:- GSM Mobile telephones Service Operator &amp; circle wise as on 30/06/2013</t>
  </si>
  <si>
    <t>Sub:- CDMA WLL telephones Service Operator &amp; Circle wise as on 30/06/2013</t>
  </si>
  <si>
    <t>Sub:- Wire line telephones Service Operator &amp; Circle wise as on 30/06/2013</t>
  </si>
  <si>
    <t>Population June -2013 (in thousand)</t>
  </si>
  <si>
    <t>Population Jun -2013 (in thousand)</t>
  </si>
  <si>
    <t>Note:  *Vodafone Status is as on 31.05.2013</t>
  </si>
  <si>
    <t>Sub: Proportion of VLR subscribers (Service Provider wise) as on 31.05.2013</t>
  </si>
  <si>
    <t xml:space="preserve">Quadrant </t>
  </si>
  <si>
    <t>Teledensity Circle wise for Urban, Rural areas and all operators as on 30.06.2013</t>
  </si>
  <si>
    <t>Total telephones operator wise and Market share as on 30.06.2013</t>
  </si>
  <si>
    <t>%age contribution of BSNL in Telephone connection Achievement during 2012-13 (upto 30.06.2013)</t>
  </si>
  <si>
    <r>
      <rPr>
        <sz val="7"/>
        <rFont val="Times New Roman"/>
        <family val="1"/>
      </rPr>
      <t xml:space="preserve"> </t>
    </r>
    <r>
      <rPr>
        <sz val="11.5"/>
        <rFont val="Arial"/>
        <family val="2"/>
      </rPr>
      <t>Total telephone connections operator wise and circle wise as on 30.06.2013</t>
    </r>
  </si>
  <si>
    <t>Wireless telephone connections operator wise and circle wise as on 30.06.2013</t>
  </si>
  <si>
    <t>Mobile telephone connections operator wise and circle wise as on 30.06.2013</t>
  </si>
  <si>
    <t>WLL telephone service operator wise and circle wise as on 30.06.2013</t>
  </si>
  <si>
    <t>Wireline telephone service operator wise and circle wise as on 30.06.2013</t>
  </si>
  <si>
    <t>Month wise telephone connection provided by BSNL &amp; All operators during 2012-13 and 2013-14 (upto June)</t>
  </si>
  <si>
    <t xml:space="preserve">Operator wise Proportion of VLR subscribers (Service Provider wise) as on 31.05.2013 </t>
  </si>
  <si>
    <t>Dated: 19th August 2013.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</si>
</sst>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  <numFmt numFmtId="201" formatCode="0.0%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0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33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0" fontId="5" fillId="0" borderId="0" xfId="15" applyFont="1">
      <alignment/>
      <protection/>
    </xf>
    <xf numFmtId="3" fontId="2" fillId="34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3" fontId="4" fillId="0" borderId="10" xfId="15" applyNumberFormat="1" applyFont="1" applyFill="1" applyBorder="1">
      <alignment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33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34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34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3" fontId="2" fillId="34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5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0" fontId="2" fillId="0" borderId="16" xfId="15" applyFont="1" applyBorder="1" applyAlignment="1">
      <alignment wrapText="1"/>
      <protection/>
    </xf>
    <xf numFmtId="0" fontId="2" fillId="0" borderId="17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8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0" fontId="0" fillId="0" borderId="20" xfId="0" applyBorder="1" applyAlignment="1">
      <alignment/>
    </xf>
    <xf numFmtId="0" fontId="2" fillId="0" borderId="21" xfId="15" applyFont="1" applyBorder="1">
      <alignment/>
      <protection/>
    </xf>
    <xf numFmtId="0" fontId="0" fillId="0" borderId="22" xfId="0" applyBorder="1" applyAlignment="1">
      <alignment/>
    </xf>
    <xf numFmtId="0" fontId="2" fillId="0" borderId="23" xfId="15" applyFont="1" applyBorder="1">
      <alignment/>
      <protection/>
    </xf>
    <xf numFmtId="0" fontId="2" fillId="0" borderId="24" xfId="15" applyFont="1" applyBorder="1">
      <alignment/>
      <protection/>
    </xf>
    <xf numFmtId="0" fontId="2" fillId="0" borderId="22" xfId="15" applyFont="1" applyBorder="1">
      <alignment/>
      <protection/>
    </xf>
    <xf numFmtId="0" fontId="4" fillId="0" borderId="25" xfId="15" applyFont="1" applyBorder="1">
      <alignment/>
      <protection/>
    </xf>
    <xf numFmtId="3" fontId="0" fillId="0" borderId="26" xfId="15" applyNumberFormat="1" applyFont="1" applyBorder="1">
      <alignment/>
      <protection/>
    </xf>
    <xf numFmtId="3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28" xfId="15" applyFont="1" applyBorder="1" applyAlignment="1">
      <alignment horizontal="center"/>
      <protection/>
    </xf>
    <xf numFmtId="0" fontId="2" fillId="0" borderId="29" xfId="15" applyFont="1" applyBorder="1" applyAlignment="1">
      <alignment horizontal="center"/>
      <protection/>
    </xf>
    <xf numFmtId="0" fontId="2" fillId="0" borderId="28" xfId="0" applyFont="1" applyBorder="1" applyAlignment="1">
      <alignment horizontal="center"/>
    </xf>
    <xf numFmtId="3" fontId="0" fillId="0" borderId="0" xfId="15" applyNumberFormat="1" applyFont="1">
      <alignment/>
      <protection/>
    </xf>
    <xf numFmtId="0" fontId="5" fillId="0" borderId="0" xfId="15" applyFont="1" applyBorder="1" applyAlignment="1">
      <alignment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0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2" xfId="15" applyFont="1" applyBorder="1">
      <alignment/>
      <protection/>
    </xf>
    <xf numFmtId="0" fontId="4" fillId="0" borderId="33" xfId="15" applyFont="1" applyBorder="1">
      <alignment/>
      <protection/>
    </xf>
    <xf numFmtId="0" fontId="2" fillId="0" borderId="31" xfId="15" applyFont="1" applyBorder="1" applyAlignment="1">
      <alignment horizontal="center"/>
      <protection/>
    </xf>
    <xf numFmtId="3" fontId="0" fillId="0" borderId="34" xfId="15" applyNumberFormat="1" applyFont="1" applyBorder="1">
      <alignment/>
      <protection/>
    </xf>
    <xf numFmtId="3" fontId="0" fillId="0" borderId="35" xfId="15" applyNumberFormat="1" applyFont="1" applyBorder="1">
      <alignment/>
      <protection/>
    </xf>
    <xf numFmtId="0" fontId="0" fillId="0" borderId="35" xfId="0" applyBorder="1" applyAlignment="1">
      <alignment/>
    </xf>
    <xf numFmtId="2" fontId="3" fillId="0" borderId="36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31" xfId="15" applyFont="1" applyBorder="1">
      <alignment/>
      <protection/>
    </xf>
    <xf numFmtId="0" fontId="4" fillId="0" borderId="31" xfId="15" applyFont="1" applyBorder="1">
      <alignment/>
      <protection/>
    </xf>
    <xf numFmtId="4" fontId="5" fillId="0" borderId="31" xfId="15" applyNumberFormat="1" applyFont="1" applyBorder="1" applyAlignment="1">
      <alignment horizontal="center"/>
      <protection/>
    </xf>
    <xf numFmtId="4" fontId="5" fillId="0" borderId="37" xfId="15" applyNumberFormat="1" applyFont="1" applyBorder="1" applyAlignment="1">
      <alignment horizontal="center"/>
      <protection/>
    </xf>
    <xf numFmtId="4" fontId="5" fillId="0" borderId="38" xfId="15" applyNumberFormat="1" applyFont="1" applyBorder="1" applyAlignment="1">
      <alignment horizontal="center"/>
      <protection/>
    </xf>
    <xf numFmtId="4" fontId="4" fillId="0" borderId="37" xfId="15" applyNumberFormat="1" applyFont="1" applyBorder="1" applyAlignment="1">
      <alignment horizontal="center"/>
      <protection/>
    </xf>
    <xf numFmtId="4" fontId="4" fillId="0" borderId="38" xfId="15" applyNumberFormat="1" applyFont="1" applyBorder="1" applyAlignment="1">
      <alignment horizontal="center"/>
      <protection/>
    </xf>
    <xf numFmtId="4" fontId="5" fillId="0" borderId="39" xfId="15" applyNumberFormat="1" applyFont="1" applyBorder="1" applyAlignment="1">
      <alignment horizontal="center"/>
      <protection/>
    </xf>
    <xf numFmtId="0" fontId="4" fillId="0" borderId="37" xfId="15" applyFont="1" applyBorder="1" applyAlignment="1">
      <alignment horizontal="center"/>
      <protection/>
    </xf>
    <xf numFmtId="0" fontId="4" fillId="0" borderId="38" xfId="15" applyFont="1" applyBorder="1">
      <alignment/>
      <protection/>
    </xf>
    <xf numFmtId="0" fontId="4" fillId="0" borderId="39" xfId="15" applyFont="1" applyBorder="1">
      <alignment/>
      <protection/>
    </xf>
    <xf numFmtId="0" fontId="5" fillId="0" borderId="40" xfId="15" applyFont="1" applyBorder="1">
      <alignment/>
      <protection/>
    </xf>
    <xf numFmtId="2" fontId="5" fillId="0" borderId="37" xfId="15" applyNumberFormat="1" applyFont="1" applyBorder="1" applyAlignment="1">
      <alignment horizontal="center"/>
      <protection/>
    </xf>
    <xf numFmtId="2" fontId="4" fillId="0" borderId="38" xfId="15" applyNumberFormat="1" applyFont="1" applyBorder="1" applyAlignment="1">
      <alignment horizontal="center"/>
      <protection/>
    </xf>
    <xf numFmtId="2" fontId="5" fillId="0" borderId="38" xfId="15" applyNumberFormat="1" applyFont="1" applyBorder="1" applyAlignment="1">
      <alignment horizontal="center"/>
      <protection/>
    </xf>
    <xf numFmtId="2" fontId="4" fillId="0" borderId="37" xfId="15" applyNumberFormat="1" applyFont="1" applyBorder="1" applyAlignment="1">
      <alignment horizontal="center"/>
      <protection/>
    </xf>
    <xf numFmtId="2" fontId="5" fillId="0" borderId="39" xfId="15" applyNumberFormat="1" applyFont="1" applyBorder="1" applyAlignment="1">
      <alignment horizontal="center"/>
      <protection/>
    </xf>
    <xf numFmtId="2" fontId="5" fillId="0" borderId="29" xfId="15" applyNumberFormat="1" applyFont="1" applyBorder="1" applyAlignment="1">
      <alignment horizontal="center"/>
      <protection/>
    </xf>
    <xf numFmtId="2" fontId="5" fillId="0" borderId="40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4" fontId="4" fillId="0" borderId="41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4" fillId="0" borderId="17" xfId="15" applyNumberFormat="1" applyFont="1" applyBorder="1" applyAlignment="1">
      <alignment horizontal="center"/>
      <protection/>
    </xf>
    <xf numFmtId="4" fontId="4" fillId="0" borderId="17" xfId="15" applyNumberFormat="1" applyFont="1" applyBorder="1" applyAlignment="1">
      <alignment horizont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2" fillId="0" borderId="37" xfId="15" applyFont="1" applyBorder="1" applyAlignment="1">
      <alignment horizontal="center" vertical="center" wrapText="1"/>
      <protection/>
    </xf>
    <xf numFmtId="0" fontId="2" fillId="33" borderId="38" xfId="15" applyFont="1" applyFill="1" applyBorder="1" applyAlignment="1">
      <alignment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6" xfId="15" applyFont="1" applyBorder="1" applyAlignment="1">
      <alignment horizontal="center" vertical="center" wrapText="1"/>
      <protection/>
    </xf>
    <xf numFmtId="0" fontId="2" fillId="33" borderId="47" xfId="15" applyFont="1" applyFill="1" applyBorder="1" applyAlignment="1">
      <alignment vertical="center" wrapText="1"/>
      <protection/>
    </xf>
    <xf numFmtId="4" fontId="1" fillId="0" borderId="39" xfId="0" applyNumberFormat="1" applyFont="1" applyBorder="1" applyAlignment="1">
      <alignment horizontal="center"/>
    </xf>
    <xf numFmtId="0" fontId="4" fillId="33" borderId="37" xfId="15" applyFont="1" applyFill="1" applyBorder="1" applyAlignment="1">
      <alignment horizontal="center"/>
      <protection/>
    </xf>
    <xf numFmtId="0" fontId="4" fillId="33" borderId="38" xfId="15" applyFont="1" applyFill="1" applyBorder="1">
      <alignment/>
      <protection/>
    </xf>
    <xf numFmtId="4" fontId="4" fillId="33" borderId="37" xfId="15" applyNumberFormat="1" applyFont="1" applyFill="1" applyBorder="1" applyAlignment="1">
      <alignment horizontal="center"/>
      <protection/>
    </xf>
    <xf numFmtId="4" fontId="4" fillId="33" borderId="10" xfId="15" applyNumberFormat="1" applyFont="1" applyFill="1" applyBorder="1" applyAlignment="1">
      <alignment horizontal="center"/>
      <protection/>
    </xf>
    <xf numFmtId="4" fontId="4" fillId="33" borderId="38" xfId="15" applyNumberFormat="1" applyFont="1" applyFill="1" applyBorder="1" applyAlignment="1">
      <alignment horizontal="center"/>
      <protection/>
    </xf>
    <xf numFmtId="2" fontId="4" fillId="33" borderId="37" xfId="15" applyNumberFormat="1" applyFont="1" applyFill="1" applyBorder="1" applyAlignment="1">
      <alignment horizontal="center"/>
      <protection/>
    </xf>
    <xf numFmtId="2" fontId="4" fillId="33" borderId="10" xfId="15" applyNumberFormat="1" applyFont="1" applyFill="1" applyBorder="1" applyAlignment="1">
      <alignment horizontal="center"/>
      <protection/>
    </xf>
    <xf numFmtId="2" fontId="4" fillId="33" borderId="38" xfId="15" applyNumberFormat="1" applyFont="1" applyFill="1" applyBorder="1" applyAlignment="1">
      <alignment horizontal="center"/>
      <protection/>
    </xf>
    <xf numFmtId="0" fontId="4" fillId="33" borderId="0" xfId="15" applyFont="1" applyFill="1">
      <alignment/>
      <protection/>
    </xf>
    <xf numFmtId="3" fontId="4" fillId="33" borderId="0" xfId="15" applyNumberFormat="1" applyFont="1" applyFill="1">
      <alignment/>
      <protection/>
    </xf>
    <xf numFmtId="2" fontId="4" fillId="33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4" fillId="0" borderId="40" xfId="15" applyFont="1" applyBorder="1" applyAlignment="1">
      <alignment vertical="center"/>
      <protection/>
    </xf>
    <xf numFmtId="4" fontId="4" fillId="0" borderId="40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48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37" xfId="15" applyFont="1" applyBorder="1" applyAlignment="1">
      <alignment horizontal="center" vertical="center"/>
      <protection/>
    </xf>
    <xf numFmtId="0" fontId="4" fillId="0" borderId="38" xfId="15" applyFont="1" applyBorder="1" applyAlignment="1">
      <alignment vertical="center"/>
      <protection/>
    </xf>
    <xf numFmtId="4" fontId="4" fillId="0" borderId="37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38" xfId="15" applyNumberFormat="1" applyFont="1" applyBorder="1" applyAlignment="1">
      <alignment horizontal="center" vertical="center"/>
      <protection/>
    </xf>
    <xf numFmtId="2" fontId="4" fillId="0" borderId="37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37" xfId="15" applyNumberFormat="1" applyFont="1" applyFill="1" applyBorder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7" xfId="15" applyNumberFormat="1" applyFont="1" applyBorder="1" applyAlignment="1">
      <alignment horizontal="center" vertical="center"/>
      <protection/>
    </xf>
    <xf numFmtId="2" fontId="4" fillId="0" borderId="50" xfId="15" applyNumberFormat="1" applyFont="1" applyBorder="1" applyAlignment="1">
      <alignment horizontal="center" vertical="center"/>
      <protection/>
    </xf>
    <xf numFmtId="4" fontId="4" fillId="0" borderId="29" xfId="15" applyNumberFormat="1" applyFont="1" applyBorder="1" applyAlignment="1">
      <alignment horizontal="center" vertical="center"/>
      <protection/>
    </xf>
    <xf numFmtId="2" fontId="4" fillId="0" borderId="39" xfId="15" applyNumberFormat="1" applyFont="1" applyBorder="1" applyAlignment="1">
      <alignment horizontal="center" vertical="center"/>
      <protection/>
    </xf>
    <xf numFmtId="0" fontId="4" fillId="0" borderId="40" xfId="15" applyFont="1" applyBorder="1" applyAlignment="1">
      <alignment horizontal="left" vertical="center"/>
      <protection/>
    </xf>
    <xf numFmtId="2" fontId="4" fillId="0" borderId="29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2" fillId="0" borderId="14" xfId="15" applyFont="1" applyBorder="1" applyAlignment="1">
      <alignment horizontal="center"/>
      <protection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3" fontId="2" fillId="33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10" fontId="4" fillId="0" borderId="0" xfId="15" applyNumberFormat="1" applyFont="1">
      <alignment/>
      <protection/>
    </xf>
    <xf numFmtId="0" fontId="4" fillId="0" borderId="0" xfId="0" applyFont="1" applyAlignment="1">
      <alignment/>
    </xf>
    <xf numFmtId="17" fontId="4" fillId="0" borderId="51" xfId="0" applyNumberFormat="1" applyFont="1" applyBorder="1" applyAlignment="1">
      <alignment horizontal="left" vertical="center"/>
    </xf>
    <xf numFmtId="17" fontId="4" fillId="0" borderId="52" xfId="0" applyNumberFormat="1" applyFont="1" applyBorder="1" applyAlignment="1">
      <alignment horizontal="left" vertical="center"/>
    </xf>
    <xf numFmtId="17" fontId="5" fillId="0" borderId="53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vertical="center" wrapText="1"/>
      <protection/>
    </xf>
    <xf numFmtId="3" fontId="4" fillId="0" borderId="14" xfId="15" applyNumberFormat="1" applyFont="1" applyBorder="1" applyAlignment="1">
      <alignment horizontal="center" vertical="center"/>
      <protection/>
    </xf>
    <xf numFmtId="3" fontId="4" fillId="0" borderId="10" xfId="15" applyNumberFormat="1" applyFont="1" applyBorder="1" applyAlignment="1">
      <alignment horizontal="center" vertical="center"/>
      <protection/>
    </xf>
    <xf numFmtId="3" fontId="4" fillId="0" borderId="0" xfId="15" applyNumberFormat="1" applyFont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4" fillId="33" borderId="10" xfId="15" applyFont="1" applyFill="1" applyBorder="1" applyAlignment="1">
      <alignment horizontal="center" vertical="center" wrapText="1"/>
      <protection/>
    </xf>
    <xf numFmtId="3" fontId="4" fillId="0" borderId="14" xfId="15" applyNumberFormat="1" applyFont="1" applyBorder="1" applyAlignment="1">
      <alignment horizontal="center"/>
      <protection/>
    </xf>
    <xf numFmtId="3" fontId="4" fillId="0" borderId="54" xfId="15" applyNumberFormat="1" applyFont="1" applyBorder="1" applyAlignment="1">
      <alignment horizontal="center" vertical="center"/>
      <protection/>
    </xf>
    <xf numFmtId="3" fontId="4" fillId="33" borderId="10" xfId="15" applyNumberFormat="1" applyFont="1" applyFill="1" applyBorder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15" applyFont="1" applyBorder="1">
      <alignment/>
      <protection/>
    </xf>
    <xf numFmtId="0" fontId="4" fillId="0" borderId="14" xfId="15" applyFont="1" applyBorder="1" applyAlignment="1">
      <alignment horizontal="center"/>
      <protection/>
    </xf>
    <xf numFmtId="3" fontId="4" fillId="0" borderId="0" xfId="15" applyNumberFormat="1" applyFont="1" applyFill="1">
      <alignment/>
      <protection/>
    </xf>
    <xf numFmtId="3" fontId="4" fillId="0" borderId="0" xfId="0" applyNumberFormat="1" applyFont="1" applyFill="1" applyAlignment="1">
      <alignment/>
    </xf>
    <xf numFmtId="0" fontId="4" fillId="0" borderId="10" xfId="15" applyFont="1" applyBorder="1" applyAlignment="1">
      <alignment/>
      <protection/>
    </xf>
    <xf numFmtId="3" fontId="4" fillId="33" borderId="10" xfId="15" applyNumberFormat="1" applyFont="1" applyFill="1" applyBorder="1" applyAlignment="1" applyProtection="1">
      <alignment horizontal="right" vertical="center"/>
      <protection/>
    </xf>
    <xf numFmtId="3" fontId="4" fillId="0" borderId="10" xfId="15" applyNumberFormat="1" applyFont="1" applyBorder="1" applyAlignment="1">
      <alignment horizontal="right"/>
      <protection/>
    </xf>
    <xf numFmtId="3" fontId="4" fillId="0" borderId="10" xfId="15" applyNumberFormat="1" applyFont="1" applyFill="1" applyBorder="1" applyAlignment="1">
      <alignment horizontal="right"/>
      <protection/>
    </xf>
    <xf numFmtId="3" fontId="5" fillId="0" borderId="10" xfId="15" applyNumberFormat="1" applyFont="1" applyBorder="1" applyAlignment="1">
      <alignment horizontal="right"/>
      <protection/>
    </xf>
    <xf numFmtId="2" fontId="4" fillId="0" borderId="10" xfId="15" applyNumberFormat="1" applyFont="1" applyBorder="1" applyAlignment="1">
      <alignment horizontal="right"/>
      <protection/>
    </xf>
    <xf numFmtId="10" fontId="4" fillId="0" borderId="0" xfId="15" applyNumberFormat="1" applyFont="1" applyBorder="1" applyAlignment="1">
      <alignment horizontal="right"/>
      <protection/>
    </xf>
    <xf numFmtId="10" fontId="4" fillId="0" borderId="0" xfId="1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horizontal="right"/>
    </xf>
    <xf numFmtId="2" fontId="4" fillId="0" borderId="14" xfId="15" applyNumberFormat="1" applyFont="1" applyBorder="1" applyAlignment="1" quotePrefix="1">
      <alignment horizontal="center"/>
      <protection/>
    </xf>
    <xf numFmtId="0" fontId="2" fillId="0" borderId="11" xfId="15" applyFont="1" applyBorder="1" applyAlignment="1">
      <alignment vertical="center" wrapText="1"/>
      <protection/>
    </xf>
    <xf numFmtId="0" fontId="2" fillId="0" borderId="12" xfId="15" applyFont="1" applyBorder="1" applyAlignment="1">
      <alignment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2" fontId="2" fillId="0" borderId="0" xfId="15" applyNumberFormat="1" applyFont="1" applyBorder="1">
      <alignment/>
      <protection/>
    </xf>
    <xf numFmtId="0" fontId="2" fillId="0" borderId="16" xfId="15" applyFont="1" applyBorder="1">
      <alignment/>
      <protection/>
    </xf>
    <xf numFmtId="0" fontId="2" fillId="0" borderId="0" xfId="15" applyFont="1" applyFill="1" applyBorder="1">
      <alignment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3" fontId="2" fillId="0" borderId="10" xfId="15" applyNumberFormat="1" applyFont="1" applyFill="1" applyBorder="1" applyAlignment="1">
      <alignment horizontal="right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2" fontId="2" fillId="0" borderId="1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10" xfId="15" applyFont="1" applyFill="1" applyBorder="1">
      <alignment/>
      <protection/>
    </xf>
    <xf numFmtId="2" fontId="2" fillId="0" borderId="10" xfId="15" applyNumberFormat="1" applyFont="1" applyFill="1" applyBorder="1">
      <alignment/>
      <protection/>
    </xf>
    <xf numFmtId="10" fontId="2" fillId="0" borderId="10" xfId="15" applyNumberFormat="1" applyFont="1" applyFill="1" applyBorder="1" applyAlignment="1">
      <alignment/>
      <protection/>
    </xf>
    <xf numFmtId="3" fontId="2" fillId="0" borderId="10" xfId="15" applyNumberFormat="1" applyFont="1" applyFill="1" applyBorder="1" applyAlignment="1">
      <alignment/>
      <protection/>
    </xf>
    <xf numFmtId="1" fontId="0" fillId="0" borderId="0" xfId="15" applyNumberFormat="1" applyFont="1" applyFill="1">
      <alignment/>
      <protection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15" applyFont="1" applyFill="1" applyBorder="1">
      <alignment/>
      <protection/>
    </xf>
    <xf numFmtId="0" fontId="4" fillId="0" borderId="37" xfId="15" applyFont="1" applyFill="1" applyBorder="1" applyAlignment="1">
      <alignment horizontal="center" vertical="center"/>
      <protection/>
    </xf>
    <xf numFmtId="0" fontId="4" fillId="0" borderId="38" xfId="15" applyFont="1" applyFill="1" applyBorder="1" applyAlignment="1">
      <alignment vertical="center"/>
      <protection/>
    </xf>
    <xf numFmtId="4" fontId="4" fillId="0" borderId="10" xfId="15" applyNumberFormat="1" applyFont="1" applyFill="1" applyBorder="1" applyAlignment="1">
      <alignment horizontal="center" vertical="center"/>
      <protection/>
    </xf>
    <xf numFmtId="4" fontId="4" fillId="0" borderId="38" xfId="15" applyNumberFormat="1" applyFont="1" applyFill="1" applyBorder="1" applyAlignment="1">
      <alignment horizontal="center" vertical="center"/>
      <protection/>
    </xf>
    <xf numFmtId="2" fontId="4" fillId="0" borderId="37" xfId="15" applyNumberFormat="1" applyFont="1" applyFill="1" applyBorder="1" applyAlignment="1">
      <alignment horizontal="center" vertical="center"/>
      <protection/>
    </xf>
    <xf numFmtId="2" fontId="4" fillId="0" borderId="14" xfId="15" applyNumberFormat="1" applyFont="1" applyFill="1" applyBorder="1" applyAlignment="1">
      <alignment horizontal="center" vertical="center"/>
      <protection/>
    </xf>
    <xf numFmtId="2" fontId="4" fillId="0" borderId="49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vertical="center"/>
      <protection/>
    </xf>
    <xf numFmtId="3" fontId="4" fillId="0" borderId="0" xfId="15" applyNumberFormat="1" applyFont="1" applyFill="1" applyAlignment="1">
      <alignment vertical="center"/>
      <protection/>
    </xf>
    <xf numFmtId="2" fontId="4" fillId="0" borderId="0" xfId="15" applyNumberFormat="1" applyFont="1" applyFill="1" applyAlignment="1">
      <alignment horizontal="center" vertical="center"/>
      <protection/>
    </xf>
    <xf numFmtId="2" fontId="4" fillId="0" borderId="10" xfId="15" applyNumberFormat="1" applyFont="1" applyFill="1" applyBorder="1" applyAlignment="1">
      <alignment horizontal="center" vertical="center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vertical="center"/>
      <protection/>
    </xf>
    <xf numFmtId="0" fontId="4" fillId="0" borderId="10" xfId="15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2" fontId="4" fillId="0" borderId="10" xfId="15" applyNumberFormat="1" applyFont="1" applyBorder="1" applyAlignment="1" quotePrefix="1">
      <alignment horizontal="center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15" applyFont="1" applyFill="1" applyBorder="1">
      <alignment/>
      <protection/>
    </xf>
    <xf numFmtId="2" fontId="3" fillId="0" borderId="55" xfId="15" applyNumberFormat="1" applyFont="1" applyBorder="1" applyAlignment="1" quotePrefix="1">
      <alignment horizontal="center"/>
      <protection/>
    </xf>
    <xf numFmtId="2" fontId="3" fillId="0" borderId="56" xfId="15" applyNumberFormat="1" applyFont="1" applyBorder="1" applyAlignment="1" quotePrefix="1">
      <alignment horizontal="center"/>
      <protection/>
    </xf>
    <xf numFmtId="2" fontId="2" fillId="0" borderId="0" xfId="15" applyNumberFormat="1" applyFont="1" applyBorder="1" applyAlignment="1" quotePrefix="1">
      <alignment horizontal="center"/>
      <protection/>
    </xf>
    <xf numFmtId="0" fontId="2" fillId="0" borderId="16" xfId="15" applyFont="1" applyBorder="1" applyAlignment="1">
      <alignment/>
      <protection/>
    </xf>
    <xf numFmtId="4" fontId="0" fillId="0" borderId="38" xfId="0" applyNumberFormat="1" applyBorder="1" applyAlignment="1" quotePrefix="1">
      <alignment horizontal="center"/>
    </xf>
    <xf numFmtId="4" fontId="0" fillId="0" borderId="40" xfId="0" applyNumberFormat="1" applyBorder="1" applyAlignment="1" quotePrefix="1">
      <alignment horizontal="center"/>
    </xf>
    <xf numFmtId="2" fontId="1" fillId="0" borderId="10" xfId="15" applyNumberFormat="1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0" fillId="0" borderId="0" xfId="54" applyAlignment="1" applyProtection="1" quotePrefix="1">
      <alignment/>
      <protection/>
    </xf>
    <xf numFmtId="0" fontId="10" fillId="0" borderId="10" xfId="54" applyBorder="1" applyAlignment="1" applyProtection="1">
      <alignment vertical="center"/>
      <protection/>
    </xf>
    <xf numFmtId="1" fontId="2" fillId="0" borderId="0" xfId="15" applyNumberFormat="1" applyFont="1">
      <alignment/>
      <protection/>
    </xf>
    <xf numFmtId="3" fontId="4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/>
      <protection/>
    </xf>
    <xf numFmtId="2" fontId="4" fillId="0" borderId="14" xfId="15" applyNumberFormat="1" applyFont="1" applyFill="1" applyBorder="1" applyAlignment="1">
      <alignment horizontal="center"/>
      <protection/>
    </xf>
    <xf numFmtId="3" fontId="2" fillId="0" borderId="0" xfId="15" applyNumberFormat="1" applyFont="1" applyAlignment="1">
      <alignment vertical="center"/>
      <protection/>
    </xf>
    <xf numFmtId="4" fontId="2" fillId="0" borderId="0" xfId="15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4" fillId="8" borderId="10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 vertical="center"/>
    </xf>
    <xf numFmtId="3" fontId="3" fillId="0" borderId="10" xfId="15" applyNumberFormat="1" applyFont="1" applyBorder="1" applyAlignment="1">
      <alignment horizontal="center" wrapText="1"/>
      <protection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43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42" xfId="0" applyNumberFormat="1" applyFont="1" applyFill="1" applyBorder="1" applyAlignment="1">
      <alignment horizontal="center" vertical="center"/>
    </xf>
    <xf numFmtId="2" fontId="12" fillId="8" borderId="40" xfId="0" applyNumberFormat="1" applyFont="1" applyFill="1" applyBorder="1" applyAlignment="1">
      <alignment horizontal="center" vertical="center"/>
    </xf>
    <xf numFmtId="2" fontId="4" fillId="8" borderId="44" xfId="0" applyNumberFormat="1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41" xfId="0" applyNumberFormat="1" applyFont="1" applyFill="1" applyBorder="1" applyAlignment="1">
      <alignment horizontal="center" vertical="center"/>
    </xf>
    <xf numFmtId="2" fontId="5" fillId="8" borderId="39" xfId="0" applyNumberFormat="1" applyFont="1" applyFill="1" applyBorder="1" applyAlignment="1">
      <alignment horizontal="center" vertical="center"/>
    </xf>
    <xf numFmtId="2" fontId="4" fillId="8" borderId="29" xfId="0" applyNumberFormat="1" applyFont="1" applyFill="1" applyBorder="1" applyAlignment="1">
      <alignment horizontal="center" vertical="center"/>
    </xf>
    <xf numFmtId="2" fontId="4" fillId="8" borderId="40" xfId="0" applyNumberFormat="1" applyFont="1" applyFill="1" applyBorder="1" applyAlignment="1">
      <alignment horizontal="center" vertical="center"/>
    </xf>
    <xf numFmtId="2" fontId="5" fillId="8" borderId="41" xfId="0" applyNumberFormat="1" applyFont="1" applyFill="1" applyBorder="1" applyAlignment="1">
      <alignment horizontal="center" vertical="center"/>
    </xf>
    <xf numFmtId="2" fontId="5" fillId="8" borderId="11" xfId="0" applyNumberFormat="1" applyFont="1" applyFill="1" applyBorder="1" applyAlignment="1">
      <alignment horizontal="center" vertical="center"/>
    </xf>
    <xf numFmtId="2" fontId="12" fillId="8" borderId="42" xfId="0" applyNumberFormat="1" applyFont="1" applyFill="1" applyBorder="1" applyAlignment="1">
      <alignment horizontal="center" vertical="center"/>
    </xf>
    <xf numFmtId="17" fontId="4" fillId="0" borderId="57" xfId="0" applyNumberFormat="1" applyFont="1" applyBorder="1" applyAlignment="1">
      <alignment horizontal="left" vertical="center"/>
    </xf>
    <xf numFmtId="4" fontId="4" fillId="0" borderId="42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 quotePrefix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58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1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38" xfId="15" applyFont="1" applyBorder="1" applyAlignment="1">
      <alignment horizontal="center" vertical="center" wrapText="1"/>
      <protection/>
    </xf>
    <xf numFmtId="0" fontId="5" fillId="0" borderId="37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3" xfId="15" applyFont="1" applyBorder="1" applyAlignment="1">
      <alignment horizontal="center" vertical="center" wrapText="1"/>
      <protection/>
    </xf>
    <xf numFmtId="0" fontId="5" fillId="0" borderId="62" xfId="15" applyFont="1" applyBorder="1" applyAlignment="1">
      <alignment horizontal="center" vertical="center" wrapText="1"/>
      <protection/>
    </xf>
    <xf numFmtId="0" fontId="5" fillId="0" borderId="44" xfId="15" applyFont="1" applyBorder="1" applyAlignment="1">
      <alignment horizontal="center" vertical="center" wrapText="1"/>
      <protection/>
    </xf>
    <xf numFmtId="0" fontId="5" fillId="0" borderId="46" xfId="15" applyFont="1" applyBorder="1" applyAlignment="1">
      <alignment horizontal="center" vertical="center" wrapText="1"/>
      <protection/>
    </xf>
    <xf numFmtId="0" fontId="0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9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44" xfId="15" applyFont="1" applyBorder="1" applyAlignment="1">
      <alignment horizontal="center" vertical="center" wrapText="1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39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38" xfId="15" applyFont="1" applyBorder="1" applyAlignment="1">
      <alignment horizontal="center" vertical="center" wrapText="1"/>
      <protection/>
    </xf>
    <xf numFmtId="0" fontId="3" fillId="0" borderId="40" xfId="15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54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1" xfId="15" applyFont="1" applyBorder="1" applyAlignment="1">
      <alignment horizontal="center" wrapText="1"/>
      <protection/>
    </xf>
    <xf numFmtId="0" fontId="3" fillId="0" borderId="31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2" fillId="0" borderId="54" xfId="15" applyFont="1" applyBorder="1" applyAlignment="1">
      <alignment horizontal="center" vertical="center" wrapText="1"/>
      <protection/>
    </xf>
    <xf numFmtId="0" fontId="2" fillId="0" borderId="31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54" xfId="15" applyFont="1" applyBorder="1" applyAlignment="1">
      <alignment horizontal="center" vertical="center" wrapText="1"/>
      <protection/>
    </xf>
    <xf numFmtId="0" fontId="5" fillId="0" borderId="31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2" fillId="0" borderId="12" xfId="15" applyFont="1" applyBorder="1" applyAlignment="1">
      <alignment horizontal="center" vertical="center"/>
      <protection/>
    </xf>
    <xf numFmtId="0" fontId="2" fillId="0" borderId="13" xfId="15" applyFont="1" applyBorder="1" applyAlignment="1">
      <alignment horizontal="center" vertical="center"/>
      <protection/>
    </xf>
    <xf numFmtId="0" fontId="2" fillId="0" borderId="14" xfId="15" applyFont="1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0" fontId="4" fillId="0" borderId="11" xfId="15" applyFont="1" applyBorder="1" applyAlignment="1">
      <alignment horizontal="center" wrapText="1"/>
      <protection/>
    </xf>
    <xf numFmtId="0" fontId="4" fillId="0" borderId="31" xfId="15" applyFont="1" applyBorder="1" applyAlignment="1">
      <alignment horizontal="center" wrapText="1"/>
      <protection/>
    </xf>
    <xf numFmtId="0" fontId="2" fillId="0" borderId="31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15" applyFont="1" applyBorder="1" applyAlignment="1">
      <alignment horizontal="center" wrapText="1"/>
      <protection/>
    </xf>
    <xf numFmtId="0" fontId="4" fillId="0" borderId="10" xfId="15" applyFont="1" applyBorder="1" applyAlignment="1">
      <alignment horizontal="center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1" xfId="15" applyFont="1" applyFill="1" applyBorder="1" applyAlignment="1">
      <alignment horizontal="center" vertical="center" wrapText="1"/>
      <protection/>
    </xf>
    <xf numFmtId="0" fontId="3" fillId="0" borderId="54" xfId="15" applyFont="1" applyBorder="1" applyAlignment="1">
      <alignment horizontal="center" vertical="center" wrapText="1"/>
      <protection/>
    </xf>
    <xf numFmtId="0" fontId="3" fillId="0" borderId="54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1" xfId="15" applyFont="1" applyBorder="1" applyAlignment="1">
      <alignment horizontal="center" vertical="center" wrapText="1"/>
      <protection/>
    </xf>
    <xf numFmtId="0" fontId="1" fillId="0" borderId="54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1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72" xfId="15" applyNumberFormat="1" applyFont="1" applyBorder="1" applyAlignment="1">
      <alignment horizontal="center" vertical="center"/>
      <protection/>
    </xf>
    <xf numFmtId="0" fontId="5" fillId="0" borderId="47" xfId="15" applyFont="1" applyBorder="1" applyAlignment="1">
      <alignment horizontal="center" vertical="center" wrapText="1"/>
      <protection/>
    </xf>
    <xf numFmtId="4" fontId="4" fillId="0" borderId="71" xfId="15" applyNumberFormat="1" applyFont="1" applyBorder="1" applyAlignment="1">
      <alignment horizontal="center"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4" fontId="4" fillId="0" borderId="72" xfId="15" applyNumberFormat="1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"/>
          <c:w val="0.911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'Anne-11'!$B$4</c:f>
              <c:strCache>
                <c:ptCount val="1"/>
                <c:pt idx="0">
                  <c:v>Wireless Subscribers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'Anne-11'!$B$5:$B$17</c:f>
              <c:numCache/>
            </c:numRef>
          </c:val>
        </c:ser>
        <c:ser>
          <c:idx val="1"/>
          <c:order val="1"/>
          <c:tx>
            <c:strRef>
              <c:f>'Anne-11'!$C$4</c:f>
              <c:strCache>
                <c:ptCount val="1"/>
                <c:pt idx="0">
                  <c:v>VLR Subscribers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'Anne-11'!$A$5:$A$17</c:f>
              <c:strCache/>
            </c:strRef>
          </c:cat>
          <c:val>
            <c:numRef>
              <c:f>'Anne-11'!$C$5:$C$17</c:f>
              <c:numCache/>
            </c:numRef>
          </c:val>
        </c:ser>
        <c:axId val="30837757"/>
        <c:axId val="9104358"/>
      </c:barChart>
      <c:lineChart>
        <c:grouping val="standard"/>
        <c:varyColors val="0"/>
        <c:ser>
          <c:idx val="2"/>
          <c:order val="2"/>
          <c:tx>
            <c:strRef>
              <c:f>'Anne-11'!$D$4</c:f>
              <c:strCache>
                <c:ptCount val="1"/>
                <c:pt idx="0">
                  <c:v>% of Active subscribers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'Anne-11'!$A$5:$A$17</c:f>
              <c:strCache/>
            </c:strRef>
          </c:cat>
          <c:val>
            <c:numRef>
              <c:f>'Anne-11'!$D$5:$D$17</c:f>
              <c:numCache/>
            </c:numRef>
          </c:val>
          <c:smooth val="0"/>
        </c:ser>
        <c:axId val="14830359"/>
        <c:axId val="66364368"/>
      </c:lineChart>
      <c:dateAx>
        <c:axId val="3083775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VLR %</a:t>
                </a:r>
              </a:p>
            </c:rich>
          </c:tx>
          <c:layout>
            <c:manualLayout>
              <c:xMode val="factor"/>
              <c:yMode val="factor"/>
              <c:x val="0.126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0435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10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Subscribers (in Millions)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At val="1"/>
        <c:crossBetween val="between"/>
        <c:dispUnits/>
      </c:valAx>
      <c:dateAx>
        <c:axId val="14830359"/>
        <c:scaling>
          <c:orientation val="minMax"/>
        </c:scaling>
        <c:axPos val="b"/>
        <c:delete val="1"/>
        <c:majorTickMark val="out"/>
        <c:minorTickMark val="none"/>
        <c:tickLblPos val="nextTo"/>
        <c:crossAx val="66364368"/>
        <c:crosses val="autoZero"/>
        <c:auto val="0"/>
        <c:noMultiLvlLbl val="0"/>
      </c:dateAx>
      <c:valAx>
        <c:axId val="66364368"/>
        <c:scaling>
          <c:orientation val="minMax"/>
          <c:max val="100"/>
        </c:scaling>
        <c:axPos val="l"/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5"/>
          <c:y val="0.05"/>
          <c:w val="0.192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43</xdr:row>
      <xdr:rowOff>19050</xdr:rowOff>
    </xdr:from>
    <xdr:ext cx="190500" cy="257175"/>
    <xdr:sp>
      <xdr:nvSpPr>
        <xdr:cNvPr id="1" name="TextBox 7"/>
        <xdr:cNvSpPr txBox="1">
          <a:spLocks noChangeArrowheads="1"/>
        </xdr:cNvSpPr>
      </xdr:nvSpPr>
      <xdr:spPr>
        <a:xfrm>
          <a:off x="114300" y="7715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104775</xdr:rowOff>
    </xdr:from>
    <xdr:to>
      <xdr:col>14</xdr:col>
      <xdr:colOff>800100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0" y="495300"/>
        <a:ext cx="9601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2.140625" style="0" customWidth="1"/>
    <col min="2" max="2" width="106.421875" style="0" customWidth="1"/>
  </cols>
  <sheetData>
    <row r="2" spans="1:2" ht="23.25">
      <c r="A2" s="460" t="s">
        <v>217</v>
      </c>
      <c r="B2" s="460"/>
    </row>
    <row r="4" spans="1:2" ht="24.75" customHeight="1">
      <c r="A4" s="427" t="s">
        <v>111</v>
      </c>
      <c r="B4" s="425" t="s">
        <v>240</v>
      </c>
    </row>
    <row r="5" spans="1:2" ht="24.75" customHeight="1">
      <c r="A5" s="427" t="s">
        <v>206</v>
      </c>
      <c r="B5" s="425" t="s">
        <v>241</v>
      </c>
    </row>
    <row r="6" spans="1:2" ht="24.75" customHeight="1">
      <c r="A6" s="427" t="s">
        <v>207</v>
      </c>
      <c r="B6" s="425" t="s">
        <v>242</v>
      </c>
    </row>
    <row r="7" spans="1:2" ht="24.75" customHeight="1">
      <c r="A7" s="427" t="s">
        <v>208</v>
      </c>
      <c r="B7" s="425" t="s">
        <v>243</v>
      </c>
    </row>
    <row r="8" spans="1:2" ht="24.75" customHeight="1">
      <c r="A8" s="427" t="s">
        <v>209</v>
      </c>
      <c r="B8" s="425" t="s">
        <v>244</v>
      </c>
    </row>
    <row r="9" spans="1:2" ht="24.75" customHeight="1">
      <c r="A9" s="427" t="s">
        <v>210</v>
      </c>
      <c r="B9" s="425" t="s">
        <v>245</v>
      </c>
    </row>
    <row r="10" spans="1:2" ht="24.75" customHeight="1">
      <c r="A10" s="427" t="s">
        <v>211</v>
      </c>
      <c r="B10" s="425" t="s">
        <v>246</v>
      </c>
    </row>
    <row r="11" spans="1:2" ht="24.75" customHeight="1">
      <c r="A11" s="427" t="s">
        <v>212</v>
      </c>
      <c r="B11" s="425" t="s">
        <v>247</v>
      </c>
    </row>
    <row r="12" spans="1:6" ht="24.75" customHeight="1">
      <c r="A12" s="427" t="s">
        <v>213</v>
      </c>
      <c r="B12" s="425" t="s">
        <v>214</v>
      </c>
      <c r="F12" s="426"/>
    </row>
    <row r="13" spans="1:2" ht="24.75" customHeight="1">
      <c r="A13" s="427" t="s">
        <v>215</v>
      </c>
      <c r="B13" s="425" t="s">
        <v>248</v>
      </c>
    </row>
    <row r="14" spans="1:2" ht="24.75" customHeight="1">
      <c r="A14" s="427" t="s">
        <v>216</v>
      </c>
      <c r="B14" s="425" t="s">
        <v>249</v>
      </c>
    </row>
  </sheetData>
  <sheetProtection/>
  <mergeCells count="1">
    <mergeCell ref="A2:B2"/>
  </mergeCells>
  <hyperlinks>
    <hyperlink ref="A4" location="'Anne-1'!A1" display="Annexure-1"/>
    <hyperlink ref="A5" location="'Anne-2'!A1" display="Annexure-2."/>
    <hyperlink ref="A6" location="'Anne-3'!A1" display=" Annexure-3."/>
    <hyperlink ref="A7" location="'Anne-4'!A1" display="Annexure-4."/>
    <hyperlink ref="A8" location="'Anne-5'!A1" display="Annexure-5."/>
    <hyperlink ref="A9" location="'Anne-6'!A1" display="Annexure-6."/>
    <hyperlink ref="A10" location="'Anne-7'!A1" display="Annexure-7."/>
    <hyperlink ref="A11" location="'Anne-8'!A1" display="Annexure-8."/>
    <hyperlink ref="A12" location="'Anne-9'!A1" display="Annexure-9."/>
    <hyperlink ref="A13" location="'Anne-10'!A1" display="Annexure-10."/>
    <hyperlink ref="A14" location="'Anne-11'!A1" display="Annexure-11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7" sqref="B27"/>
    </sheetView>
  </sheetViews>
  <sheetFormatPr defaultColWidth="9.140625" defaultRowHeight="12.75"/>
  <cols>
    <col min="1" max="1" width="5.7109375" style="26" customWidth="1"/>
    <col min="2" max="2" width="13.421875" style="26" customWidth="1"/>
    <col min="3" max="3" width="10.00390625" style="26" customWidth="1"/>
    <col min="4" max="4" width="9.7109375" style="26" customWidth="1"/>
    <col min="5" max="5" width="8.8515625" style="26" customWidth="1"/>
    <col min="6" max="6" width="9.00390625" style="26" customWidth="1"/>
    <col min="7" max="7" width="8.8515625" style="26" customWidth="1"/>
    <col min="8" max="8" width="10.57421875" style="26" customWidth="1"/>
    <col min="9" max="9" width="10.00390625" style="26" customWidth="1"/>
    <col min="10" max="10" width="8.7109375" style="26" customWidth="1"/>
    <col min="11" max="12" width="8.28125" style="26" customWidth="1"/>
    <col min="13" max="13" width="10.28125" style="26" customWidth="1"/>
    <col min="14" max="14" width="9.421875" style="26" customWidth="1"/>
    <col min="15" max="15" width="8.8515625" style="26" customWidth="1"/>
    <col min="16" max="16" width="7.57421875" style="26" customWidth="1"/>
    <col min="17" max="17" width="9.421875" style="26" customWidth="1"/>
    <col min="18" max="18" width="11.140625" style="26" hidden="1" customWidth="1"/>
    <col min="19" max="19" width="13.28125" style="26" customWidth="1"/>
    <col min="20" max="20" width="10.421875" style="26" bestFit="1" customWidth="1"/>
    <col min="21" max="21" width="13.421875" style="26" customWidth="1"/>
    <col min="22" max="26" width="9.140625" style="26" customWidth="1"/>
    <col min="27" max="27" width="12.421875" style="26" customWidth="1"/>
    <col min="28" max="16384" width="9.140625" style="26" customWidth="1"/>
  </cols>
  <sheetData>
    <row r="1" spans="3:16" ht="15.75">
      <c r="C1" s="29" t="str">
        <f>'Anne-8'!B2</f>
        <v>No. 1-2(1)/Market Share/2012-CP&amp;M </v>
      </c>
      <c r="I1" s="29" t="str">
        <f>'Anne-1'!G2</f>
        <v>Dated: 19th August 2013.</v>
      </c>
      <c r="P1" s="29" t="s">
        <v>172</v>
      </c>
    </row>
    <row r="2" ht="15.75">
      <c r="N2" s="29"/>
    </row>
    <row r="3" spans="2:14" ht="15.75">
      <c r="B3" s="29" t="s">
        <v>179</v>
      </c>
      <c r="N3" s="29"/>
    </row>
    <row r="4" spans="7:12" ht="15.75" thickBot="1">
      <c r="G4" s="74"/>
      <c r="H4" s="74"/>
      <c r="I4" s="74"/>
      <c r="J4" s="74"/>
      <c r="K4" s="74"/>
      <c r="L4" s="74"/>
    </row>
    <row r="5" spans="1:17" ht="33.75" customHeight="1">
      <c r="A5" s="489" t="s">
        <v>62</v>
      </c>
      <c r="B5" s="487" t="s">
        <v>156</v>
      </c>
      <c r="C5" s="478" t="s">
        <v>157</v>
      </c>
      <c r="D5" s="479"/>
      <c r="E5" s="479"/>
      <c r="F5" s="479"/>
      <c r="G5" s="480"/>
      <c r="H5" s="478" t="s">
        <v>158</v>
      </c>
      <c r="I5" s="479"/>
      <c r="J5" s="479"/>
      <c r="K5" s="479"/>
      <c r="L5" s="480"/>
      <c r="M5" s="478" t="s">
        <v>159</v>
      </c>
      <c r="N5" s="479"/>
      <c r="O5" s="479"/>
      <c r="P5" s="479"/>
      <c r="Q5" s="480"/>
    </row>
    <row r="6" spans="1:17" ht="16.5" customHeight="1">
      <c r="A6" s="490"/>
      <c r="B6" s="585"/>
      <c r="C6" s="483" t="s">
        <v>160</v>
      </c>
      <c r="D6" s="481"/>
      <c r="E6" s="481" t="s">
        <v>161</v>
      </c>
      <c r="F6" s="481"/>
      <c r="G6" s="482" t="s">
        <v>70</v>
      </c>
      <c r="H6" s="483" t="s">
        <v>160</v>
      </c>
      <c r="I6" s="481"/>
      <c r="J6" s="481" t="s">
        <v>161</v>
      </c>
      <c r="K6" s="481"/>
      <c r="L6" s="482" t="s">
        <v>70</v>
      </c>
      <c r="M6" s="483" t="s">
        <v>160</v>
      </c>
      <c r="N6" s="481"/>
      <c r="O6" s="481" t="s">
        <v>161</v>
      </c>
      <c r="P6" s="481"/>
      <c r="Q6" s="482" t="s">
        <v>70</v>
      </c>
    </row>
    <row r="7" spans="1:17" ht="22.5" customHeight="1">
      <c r="A7" s="483"/>
      <c r="B7" s="482"/>
      <c r="C7" s="483"/>
      <c r="D7" s="481"/>
      <c r="E7" s="481"/>
      <c r="F7" s="481"/>
      <c r="G7" s="482"/>
      <c r="H7" s="483"/>
      <c r="I7" s="481"/>
      <c r="J7" s="481"/>
      <c r="K7" s="481"/>
      <c r="L7" s="482"/>
      <c r="M7" s="483"/>
      <c r="N7" s="481"/>
      <c r="O7" s="481"/>
      <c r="P7" s="481"/>
      <c r="Q7" s="482"/>
    </row>
    <row r="8" spans="1:28" s="270" customFormat="1" ht="24.75" customHeight="1" thickBot="1">
      <c r="A8" s="265">
        <v>1</v>
      </c>
      <c r="B8" s="266" t="s">
        <v>162</v>
      </c>
      <c r="C8" s="586">
        <v>28.04</v>
      </c>
      <c r="D8" s="587"/>
      <c r="E8" s="588">
        <v>2.62</v>
      </c>
      <c r="F8" s="587"/>
      <c r="G8" s="267">
        <f>SUM(C8:F8)</f>
        <v>30.66</v>
      </c>
      <c r="H8" s="586">
        <v>23.93</v>
      </c>
      <c r="I8" s="587"/>
      <c r="J8" s="588">
        <v>0</v>
      </c>
      <c r="K8" s="587"/>
      <c r="L8" s="267">
        <f>SUM(H8:K8)</f>
        <v>23.93</v>
      </c>
      <c r="M8" s="582">
        <f>H8/C8*100</f>
        <v>85.34236804564908</v>
      </c>
      <c r="N8" s="583"/>
      <c r="O8" s="584">
        <f>J8/E8*100</f>
        <v>0</v>
      </c>
      <c r="P8" s="583"/>
      <c r="Q8" s="269">
        <f>L8/G8*100</f>
        <v>78.04957599478148</v>
      </c>
      <c r="S8" s="271"/>
      <c r="T8" s="272"/>
      <c r="U8" s="272"/>
      <c r="AA8" s="160">
        <v>29.14983</v>
      </c>
      <c r="AB8" s="160">
        <f>AA8/AA14*100</f>
        <v>815.7892380120263</v>
      </c>
    </row>
    <row r="9" ht="15.75" thickBot="1"/>
    <row r="10" spans="1:17" ht="33.75" customHeight="1">
      <c r="A10" s="489" t="s">
        <v>62</v>
      </c>
      <c r="B10" s="487" t="s">
        <v>156</v>
      </c>
      <c r="C10" s="478" t="s">
        <v>157</v>
      </c>
      <c r="D10" s="479"/>
      <c r="E10" s="479"/>
      <c r="F10" s="479"/>
      <c r="G10" s="480"/>
      <c r="H10" s="478" t="s">
        <v>158</v>
      </c>
      <c r="I10" s="479"/>
      <c r="J10" s="479"/>
      <c r="K10" s="479"/>
      <c r="L10" s="480"/>
      <c r="M10" s="478" t="s">
        <v>159</v>
      </c>
      <c r="N10" s="479"/>
      <c r="O10" s="479"/>
      <c r="P10" s="479"/>
      <c r="Q10" s="480"/>
    </row>
    <row r="11" spans="1:17" ht="16.5" customHeight="1">
      <c r="A11" s="490"/>
      <c r="B11" s="585"/>
      <c r="C11" s="483" t="s">
        <v>141</v>
      </c>
      <c r="D11" s="481" t="s">
        <v>139</v>
      </c>
      <c r="E11" s="481"/>
      <c r="F11" s="481"/>
      <c r="G11" s="482" t="s">
        <v>70</v>
      </c>
      <c r="H11" s="483" t="s">
        <v>141</v>
      </c>
      <c r="I11" s="481" t="s">
        <v>139</v>
      </c>
      <c r="J11" s="481"/>
      <c r="K11" s="481"/>
      <c r="L11" s="482" t="s">
        <v>70</v>
      </c>
      <c r="M11" s="483" t="s">
        <v>141</v>
      </c>
      <c r="N11" s="481" t="s">
        <v>139</v>
      </c>
      <c r="O11" s="481"/>
      <c r="P11" s="481"/>
      <c r="Q11" s="482" t="s">
        <v>70</v>
      </c>
    </row>
    <row r="12" spans="1:17" ht="21" customHeight="1">
      <c r="A12" s="483"/>
      <c r="B12" s="482"/>
      <c r="C12" s="483"/>
      <c r="D12" s="183" t="s">
        <v>131</v>
      </c>
      <c r="E12" s="183" t="s">
        <v>138</v>
      </c>
      <c r="F12" s="183" t="s">
        <v>89</v>
      </c>
      <c r="G12" s="482"/>
      <c r="H12" s="483"/>
      <c r="I12" s="183" t="s">
        <v>131</v>
      </c>
      <c r="J12" s="183" t="s">
        <v>138</v>
      </c>
      <c r="K12" s="183" t="s">
        <v>89</v>
      </c>
      <c r="L12" s="482"/>
      <c r="M12" s="483"/>
      <c r="N12" s="183" t="s">
        <v>131</v>
      </c>
      <c r="O12" s="183" t="s">
        <v>138</v>
      </c>
      <c r="P12" s="183" t="s">
        <v>89</v>
      </c>
      <c r="Q12" s="482"/>
    </row>
    <row r="13" spans="1:28" s="270" customFormat="1" ht="24.75" customHeight="1">
      <c r="A13" s="273">
        <v>2</v>
      </c>
      <c r="B13" s="274" t="s">
        <v>163</v>
      </c>
      <c r="C13" s="275">
        <v>32.512157</v>
      </c>
      <c r="D13" s="276">
        <v>0.074725</v>
      </c>
      <c r="E13" s="276">
        <v>3.577095</v>
      </c>
      <c r="F13" s="276">
        <f aca="true" t="shared" si="0" ref="F13:F26">SUM(D13:E13)</f>
        <v>3.65182</v>
      </c>
      <c r="G13" s="277">
        <f aca="true" t="shared" si="1" ref="G13:G26">C13+F13</f>
        <v>36.163977</v>
      </c>
      <c r="H13" s="275">
        <v>28.108976</v>
      </c>
      <c r="I13" s="276">
        <v>0</v>
      </c>
      <c r="J13" s="276">
        <v>0</v>
      </c>
      <c r="K13" s="276">
        <v>0</v>
      </c>
      <c r="L13" s="277">
        <f aca="true" t="shared" si="2" ref="L13:L26">H13+K13</f>
        <v>28.108976</v>
      </c>
      <c r="M13" s="278">
        <f>H13/C13*100</f>
        <v>86.45681675319172</v>
      </c>
      <c r="N13" s="279">
        <f>I13/D13*100</f>
        <v>0</v>
      </c>
      <c r="O13" s="279">
        <f>J13/E13*100</f>
        <v>0</v>
      </c>
      <c r="P13" s="279">
        <f>K13/F13*100</f>
        <v>0</v>
      </c>
      <c r="Q13" s="280">
        <f>L13/G13*100</f>
        <v>77.726451380057</v>
      </c>
      <c r="S13" s="271"/>
      <c r="T13" s="272"/>
      <c r="U13" s="272"/>
      <c r="AA13" s="160">
        <v>29.14983</v>
      </c>
      <c r="AB13" s="160">
        <f>AA13/AA19*100</f>
        <v>77.09726343320534</v>
      </c>
    </row>
    <row r="14" spans="1:28" s="270" customFormat="1" ht="24.75" customHeight="1">
      <c r="A14" s="273">
        <v>3</v>
      </c>
      <c r="B14" s="274" t="s">
        <v>164</v>
      </c>
      <c r="C14" s="275">
        <v>38.072367</v>
      </c>
      <c r="D14" s="276">
        <v>0.455953</v>
      </c>
      <c r="E14" s="276">
        <v>6.43152</v>
      </c>
      <c r="F14" s="276">
        <f t="shared" si="0"/>
        <v>6.887473</v>
      </c>
      <c r="G14" s="277">
        <f t="shared" si="1"/>
        <v>44.95984</v>
      </c>
      <c r="H14" s="275">
        <v>33.204489</v>
      </c>
      <c r="I14" s="276">
        <v>0.196699</v>
      </c>
      <c r="J14" s="276">
        <v>0.017677</v>
      </c>
      <c r="K14" s="276">
        <f aca="true" t="shared" si="3" ref="K14:K26">SUM(I14:J14)</f>
        <v>0.214376</v>
      </c>
      <c r="L14" s="277">
        <f t="shared" si="2"/>
        <v>33.418865000000004</v>
      </c>
      <c r="M14" s="278">
        <f aca="true" t="shared" si="4" ref="M14:Q22">H14/C14*100</f>
        <v>87.21414405361243</v>
      </c>
      <c r="N14" s="279">
        <f t="shared" si="4"/>
        <v>43.140192081201356</v>
      </c>
      <c r="O14" s="279">
        <f t="shared" si="4"/>
        <v>0.2748494912555663</v>
      </c>
      <c r="P14" s="279">
        <f t="shared" si="4"/>
        <v>3.1125494067272568</v>
      </c>
      <c r="Q14" s="280">
        <f t="shared" si="4"/>
        <v>74.33048026861306</v>
      </c>
      <c r="S14" s="271"/>
      <c r="T14" s="272"/>
      <c r="U14" s="272"/>
      <c r="V14" s="271"/>
      <c r="AA14" s="160">
        <v>3.573206</v>
      </c>
      <c r="AB14" s="160">
        <f>AA14/AA19*100</f>
        <v>9.450635021991891</v>
      </c>
    </row>
    <row r="15" spans="1:28" s="270" customFormat="1" ht="24.75" customHeight="1">
      <c r="A15" s="273">
        <v>4</v>
      </c>
      <c r="B15" s="274" t="s">
        <v>165</v>
      </c>
      <c r="C15" s="275">
        <v>40.745862</v>
      </c>
      <c r="D15" s="276">
        <v>1.137781</v>
      </c>
      <c r="E15" s="276">
        <v>12.687637</v>
      </c>
      <c r="F15" s="276">
        <f t="shared" si="0"/>
        <v>13.825418</v>
      </c>
      <c r="G15" s="277">
        <f t="shared" si="1"/>
        <v>54.57128</v>
      </c>
      <c r="H15" s="275">
        <v>35.416958</v>
      </c>
      <c r="I15" s="276">
        <v>0.515919</v>
      </c>
      <c r="J15" s="276">
        <v>2.256288</v>
      </c>
      <c r="K15" s="276">
        <f t="shared" si="3"/>
        <v>2.772207</v>
      </c>
      <c r="L15" s="277">
        <f t="shared" si="2"/>
        <v>38.189165</v>
      </c>
      <c r="M15" s="278">
        <f t="shared" si="4"/>
        <v>86.92160691066003</v>
      </c>
      <c r="N15" s="279">
        <f t="shared" si="4"/>
        <v>45.34431494285808</v>
      </c>
      <c r="O15" s="279">
        <f t="shared" si="4"/>
        <v>17.78335871368325</v>
      </c>
      <c r="P15" s="279">
        <f t="shared" si="4"/>
        <v>20.05152393945702</v>
      </c>
      <c r="Q15" s="280">
        <f t="shared" si="4"/>
        <v>69.98033581033833</v>
      </c>
      <c r="S15" s="271"/>
      <c r="T15" s="272"/>
      <c r="U15" s="272"/>
      <c r="V15" s="271"/>
      <c r="AA15" s="160">
        <v>2.756253</v>
      </c>
      <c r="AB15" s="160">
        <f>AA15/AA19*100</f>
        <v>7.2899074756032025</v>
      </c>
    </row>
    <row r="16" spans="1:28" s="270" customFormat="1" ht="24.75" customHeight="1">
      <c r="A16" s="273">
        <v>5</v>
      </c>
      <c r="B16" s="274" t="s">
        <v>166</v>
      </c>
      <c r="C16" s="275">
        <v>40.919515</v>
      </c>
      <c r="D16" s="276">
        <v>9.465588</v>
      </c>
      <c r="E16" s="276">
        <v>26.154405</v>
      </c>
      <c r="F16" s="276">
        <f t="shared" si="0"/>
        <v>35.619993</v>
      </c>
      <c r="G16" s="277">
        <f t="shared" si="1"/>
        <v>76.539508</v>
      </c>
      <c r="H16" s="275">
        <v>35.435637</v>
      </c>
      <c r="I16" s="276">
        <v>0.958792</v>
      </c>
      <c r="J16" s="276">
        <v>5.254117</v>
      </c>
      <c r="K16" s="276">
        <f t="shared" si="3"/>
        <v>6.212909</v>
      </c>
      <c r="L16" s="277">
        <f t="shared" si="2"/>
        <v>41.648545999999996</v>
      </c>
      <c r="M16" s="278">
        <f t="shared" si="4"/>
        <v>86.59837977063023</v>
      </c>
      <c r="N16" s="279">
        <f t="shared" si="4"/>
        <v>10.129238669589252</v>
      </c>
      <c r="O16" s="279">
        <f t="shared" si="4"/>
        <v>20.088841631075148</v>
      </c>
      <c r="P16" s="279">
        <f t="shared" si="4"/>
        <v>17.442196016153062</v>
      </c>
      <c r="Q16" s="280">
        <f t="shared" si="4"/>
        <v>54.41444175470791</v>
      </c>
      <c r="S16" s="271"/>
      <c r="T16" s="272"/>
      <c r="U16" s="272"/>
      <c r="V16" s="271"/>
      <c r="AA16" s="160">
        <v>1.115693</v>
      </c>
      <c r="AB16" s="160">
        <f>AA16/AA19*100</f>
        <v>2.950853474328432</v>
      </c>
    </row>
    <row r="17" spans="1:28" s="396" customFormat="1" ht="24.75" customHeight="1">
      <c r="A17" s="389">
        <v>6</v>
      </c>
      <c r="B17" s="390" t="s">
        <v>167</v>
      </c>
      <c r="C17" s="281">
        <v>41.349173</v>
      </c>
      <c r="D17" s="391">
        <v>16.007314</v>
      </c>
      <c r="E17" s="391">
        <v>41.066272</v>
      </c>
      <c r="F17" s="391">
        <f t="shared" si="0"/>
        <v>57.073586</v>
      </c>
      <c r="G17" s="392">
        <f t="shared" si="1"/>
        <v>98.422759</v>
      </c>
      <c r="H17" s="281">
        <v>35.859482</v>
      </c>
      <c r="I17" s="391">
        <v>1.628111</v>
      </c>
      <c r="J17" s="391">
        <v>9.447357</v>
      </c>
      <c r="K17" s="391">
        <f t="shared" si="3"/>
        <v>11.075468</v>
      </c>
      <c r="L17" s="392">
        <f t="shared" si="2"/>
        <v>46.93495</v>
      </c>
      <c r="M17" s="393">
        <f t="shared" si="4"/>
        <v>86.72357727686597</v>
      </c>
      <c r="N17" s="394">
        <f t="shared" si="4"/>
        <v>10.171044311369165</v>
      </c>
      <c r="O17" s="394">
        <f t="shared" si="4"/>
        <v>23.005148848183737</v>
      </c>
      <c r="P17" s="394">
        <f t="shared" si="4"/>
        <v>19.405593333490557</v>
      </c>
      <c r="Q17" s="395">
        <f t="shared" si="4"/>
        <v>47.68709034055833</v>
      </c>
      <c r="S17" s="397"/>
      <c r="T17" s="398"/>
      <c r="U17" s="398"/>
      <c r="V17" s="397"/>
      <c r="AA17" s="399">
        <v>0.929564</v>
      </c>
      <c r="AB17" s="399">
        <f>AA17/AA19*100</f>
        <v>2.4585680460580415</v>
      </c>
    </row>
    <row r="18" spans="1:28" s="270" customFormat="1" ht="24.75" customHeight="1">
      <c r="A18" s="273">
        <v>7</v>
      </c>
      <c r="B18" s="274" t="s">
        <v>168</v>
      </c>
      <c r="C18" s="275">
        <v>41.564713</v>
      </c>
      <c r="D18" s="276">
        <v>29.697012</v>
      </c>
      <c r="E18" s="276">
        <v>69.198304</v>
      </c>
      <c r="F18" s="276">
        <f t="shared" si="0"/>
        <v>98.895316</v>
      </c>
      <c r="G18" s="277">
        <f t="shared" si="1"/>
        <v>140.460029</v>
      </c>
      <c r="H18" s="275">
        <v>35.422889</v>
      </c>
      <c r="I18" s="276">
        <v>2.572525</v>
      </c>
      <c r="J18" s="276">
        <v>17.163761</v>
      </c>
      <c r="K18" s="276">
        <f t="shared" si="3"/>
        <v>19.736286</v>
      </c>
      <c r="L18" s="277">
        <f t="shared" si="2"/>
        <v>55.159175</v>
      </c>
      <c r="M18" s="278">
        <f t="shared" si="4"/>
        <v>85.22346587597032</v>
      </c>
      <c r="N18" s="279">
        <f t="shared" si="4"/>
        <v>8.662571843928271</v>
      </c>
      <c r="O18" s="279">
        <f t="shared" si="4"/>
        <v>24.803730738834297</v>
      </c>
      <c r="P18" s="279">
        <f t="shared" si="4"/>
        <v>19.956744968588808</v>
      </c>
      <c r="Q18" s="280">
        <f t="shared" si="4"/>
        <v>39.27037135952748</v>
      </c>
      <c r="S18" s="271"/>
      <c r="T18" s="272"/>
      <c r="U18" s="272"/>
      <c r="V18" s="271"/>
      <c r="AA18" s="160">
        <v>0.284617</v>
      </c>
      <c r="AB18" s="160">
        <f>AA18/AA19*100</f>
        <v>0.7527725488131013</v>
      </c>
    </row>
    <row r="19" spans="1:28" s="270" customFormat="1" ht="24.75" customHeight="1">
      <c r="A19" s="273">
        <v>8</v>
      </c>
      <c r="B19" s="274" t="s">
        <v>169</v>
      </c>
      <c r="C19" s="275">
        <v>40.773116</v>
      </c>
      <c r="D19" s="276">
        <v>44.623054</v>
      </c>
      <c r="E19" s="276">
        <v>121.43094</v>
      </c>
      <c r="F19" s="276">
        <f t="shared" si="0"/>
        <v>166.05399400000002</v>
      </c>
      <c r="G19" s="277">
        <f t="shared" si="1"/>
        <v>206.82711</v>
      </c>
      <c r="H19" s="275">
        <v>33.738604</v>
      </c>
      <c r="I19" s="276">
        <v>3.556263</v>
      </c>
      <c r="J19" s="276">
        <v>27.428658</v>
      </c>
      <c r="K19" s="276">
        <f t="shared" si="3"/>
        <v>30.984921</v>
      </c>
      <c r="L19" s="277">
        <f t="shared" si="2"/>
        <v>64.723525</v>
      </c>
      <c r="M19" s="278">
        <f t="shared" si="4"/>
        <v>82.7471807648942</v>
      </c>
      <c r="N19" s="279">
        <f t="shared" si="4"/>
        <v>7.9695643422343965</v>
      </c>
      <c r="O19" s="279">
        <f t="shared" si="4"/>
        <v>22.58786599197865</v>
      </c>
      <c r="P19" s="279">
        <f t="shared" si="4"/>
        <v>18.659545761964626</v>
      </c>
      <c r="Q19" s="280">
        <f t="shared" si="4"/>
        <v>31.29354029072881</v>
      </c>
      <c r="S19" s="271"/>
      <c r="T19" s="272"/>
      <c r="U19" s="272"/>
      <c r="V19" s="271"/>
      <c r="AA19" s="160">
        <f>SUM(AA13:AA18)</f>
        <v>37.809163</v>
      </c>
      <c r="AB19" s="160">
        <f>AA19/AA19*100</f>
        <v>100</v>
      </c>
    </row>
    <row r="20" spans="1:22" s="270" customFormat="1" ht="24.75" customHeight="1">
      <c r="A20" s="273">
        <v>9</v>
      </c>
      <c r="B20" s="274" t="s">
        <v>170</v>
      </c>
      <c r="C20" s="281">
        <v>39.415963</v>
      </c>
      <c r="D20" s="276">
        <v>68.380974</v>
      </c>
      <c r="E20" s="276">
        <v>192.355029</v>
      </c>
      <c r="F20" s="276">
        <f t="shared" si="0"/>
        <v>260.736003</v>
      </c>
      <c r="G20" s="277">
        <f t="shared" si="1"/>
        <v>300.15196599999996</v>
      </c>
      <c r="H20" s="275">
        <v>31.552296</v>
      </c>
      <c r="I20" s="276">
        <v>4.577732</v>
      </c>
      <c r="J20" s="276">
        <v>36.20904</v>
      </c>
      <c r="K20" s="276">
        <f t="shared" si="3"/>
        <v>40.786772</v>
      </c>
      <c r="L20" s="277">
        <f t="shared" si="2"/>
        <v>72.339068</v>
      </c>
      <c r="M20" s="278">
        <f t="shared" si="4"/>
        <v>80.04953729025979</v>
      </c>
      <c r="N20" s="279">
        <f t="shared" si="4"/>
        <v>6.694452758160479</v>
      </c>
      <c r="O20" s="279">
        <f t="shared" si="4"/>
        <v>18.82406724078943</v>
      </c>
      <c r="P20" s="279">
        <f t="shared" si="4"/>
        <v>15.642938271167713</v>
      </c>
      <c r="Q20" s="280">
        <f t="shared" si="4"/>
        <v>24.10081431883741</v>
      </c>
      <c r="S20" s="320"/>
      <c r="T20" s="272"/>
      <c r="U20" s="272"/>
      <c r="V20" s="271"/>
    </row>
    <row r="21" spans="1:22" s="270" customFormat="1" ht="24.75" customHeight="1">
      <c r="A21" s="273">
        <v>10</v>
      </c>
      <c r="B21" s="274" t="s">
        <v>171</v>
      </c>
      <c r="C21" s="275">
        <v>37.905555</v>
      </c>
      <c r="D21" s="276">
        <v>102.952086</v>
      </c>
      <c r="E21" s="276">
        <v>288.390629</v>
      </c>
      <c r="F21" s="276">
        <f t="shared" si="0"/>
        <v>391.342715</v>
      </c>
      <c r="G21" s="277">
        <f t="shared" si="1"/>
        <v>429.24827</v>
      </c>
      <c r="H21" s="275">
        <v>29.346431</v>
      </c>
      <c r="I21" s="276">
        <v>5.433038</v>
      </c>
      <c r="J21" s="276">
        <v>46.711196</v>
      </c>
      <c r="K21" s="276">
        <f t="shared" si="3"/>
        <v>52.144234</v>
      </c>
      <c r="L21" s="277">
        <f t="shared" si="2"/>
        <v>81.49066499999999</v>
      </c>
      <c r="M21" s="278">
        <f t="shared" si="4"/>
        <v>77.4198689347775</v>
      </c>
      <c r="N21" s="279">
        <f t="shared" si="4"/>
        <v>5.277249069047518</v>
      </c>
      <c r="O21" s="279">
        <f t="shared" si="4"/>
        <v>16.19719619946458</v>
      </c>
      <c r="P21" s="279">
        <f t="shared" si="4"/>
        <v>13.324442234730242</v>
      </c>
      <c r="Q21" s="280">
        <f t="shared" si="4"/>
        <v>18.98450633243088</v>
      </c>
      <c r="S21" s="320"/>
      <c r="T21" s="272"/>
      <c r="U21" s="272"/>
      <c r="V21" s="271"/>
    </row>
    <row r="22" spans="1:27" s="270" customFormat="1" ht="24.75" customHeight="1">
      <c r="A22" s="282">
        <v>11</v>
      </c>
      <c r="B22" s="283" t="s">
        <v>149</v>
      </c>
      <c r="C22" s="284">
        <v>36.942204999999994</v>
      </c>
      <c r="D22" s="286">
        <v>162.727327</v>
      </c>
      <c r="E22" s="285">
        <v>421.6797219999999</v>
      </c>
      <c r="F22" s="286">
        <f t="shared" si="0"/>
        <v>584.4070489999999</v>
      </c>
      <c r="G22" s="287">
        <f t="shared" si="1"/>
        <v>621.3492539999999</v>
      </c>
      <c r="H22" s="284">
        <v>27.83056</v>
      </c>
      <c r="I22" s="286">
        <v>6.144929</v>
      </c>
      <c r="J22" s="286">
        <v>63.305083</v>
      </c>
      <c r="K22" s="286">
        <f t="shared" si="3"/>
        <v>69.450012</v>
      </c>
      <c r="L22" s="287">
        <f t="shared" si="2"/>
        <v>97.280572</v>
      </c>
      <c r="M22" s="288">
        <f t="shared" si="4"/>
        <v>75.33540566947751</v>
      </c>
      <c r="N22" s="289">
        <f t="shared" si="4"/>
        <v>3.7762120925147378</v>
      </c>
      <c r="O22" s="289">
        <f t="shared" si="4"/>
        <v>15.012598353022064</v>
      </c>
      <c r="P22" s="289">
        <f t="shared" si="4"/>
        <v>11.88384228404473</v>
      </c>
      <c r="Q22" s="290">
        <f t="shared" si="4"/>
        <v>15.656343252003008</v>
      </c>
      <c r="S22" s="320"/>
      <c r="T22" s="272"/>
      <c r="U22" s="272"/>
      <c r="V22" s="271"/>
      <c r="AA22" s="270">
        <v>162044</v>
      </c>
    </row>
    <row r="23" spans="1:22" s="270" customFormat="1" ht="24.75" customHeight="1">
      <c r="A23" s="282">
        <v>12</v>
      </c>
      <c r="B23" s="283" t="s">
        <v>178</v>
      </c>
      <c r="C23" s="284">
        <v>34.724279</v>
      </c>
      <c r="D23" s="286">
        <v>225.920431</v>
      </c>
      <c r="E23" s="285">
        <v>585.6803009999999</v>
      </c>
      <c r="F23" s="286">
        <f t="shared" si="0"/>
        <v>811.6007319999999</v>
      </c>
      <c r="G23" s="287">
        <f t="shared" si="1"/>
        <v>846.3250109999999</v>
      </c>
      <c r="H23" s="284">
        <v>25.224905</v>
      </c>
      <c r="I23" s="286">
        <v>5.565437</v>
      </c>
      <c r="J23" s="286">
        <v>86.268689</v>
      </c>
      <c r="K23" s="286">
        <f>SUM(I23:J23)</f>
        <v>91.834126</v>
      </c>
      <c r="L23" s="287">
        <f>H23+K23</f>
        <v>117.059031</v>
      </c>
      <c r="M23" s="288">
        <f aca="true" t="shared" si="5" ref="M23:Q26">H23/C23*100</f>
        <v>72.64342335228903</v>
      </c>
      <c r="N23" s="289">
        <f t="shared" si="5"/>
        <v>2.463450063088805</v>
      </c>
      <c r="O23" s="289">
        <f t="shared" si="5"/>
        <v>14.72965521508978</v>
      </c>
      <c r="P23" s="289">
        <f t="shared" si="5"/>
        <v>11.315185211045375</v>
      </c>
      <c r="Q23" s="290">
        <f t="shared" si="5"/>
        <v>13.83145121301396</v>
      </c>
      <c r="S23" s="320"/>
      <c r="T23" s="272"/>
      <c r="U23" s="272"/>
      <c r="V23" s="271">
        <f>T23-T20</f>
        <v>0</v>
      </c>
    </row>
    <row r="24" spans="1:22" s="270" customFormat="1" ht="24.75" customHeight="1">
      <c r="A24" s="282">
        <v>13</v>
      </c>
      <c r="B24" s="283" t="s">
        <v>183</v>
      </c>
      <c r="C24" s="284">
        <v>32.15114</v>
      </c>
      <c r="D24" s="286">
        <v>224.340209</v>
      </c>
      <c r="E24" s="285">
        <v>695.756599</v>
      </c>
      <c r="F24" s="286">
        <f t="shared" si="0"/>
        <v>920.096808</v>
      </c>
      <c r="G24" s="287">
        <f t="shared" si="1"/>
        <v>952.247948</v>
      </c>
      <c r="H24" s="284">
        <v>22.467732</v>
      </c>
      <c r="I24" s="286">
        <v>4.003914</v>
      </c>
      <c r="J24" s="286">
        <v>94.509074</v>
      </c>
      <c r="K24" s="286">
        <f>SUM(I24:J24)</f>
        <v>98.51298799999999</v>
      </c>
      <c r="L24" s="287">
        <f>H24+K24</f>
        <v>120.98071999999999</v>
      </c>
      <c r="M24" s="288">
        <f aca="true" t="shared" si="6" ref="M24:Q25">H24/C24*100</f>
        <v>69.88160295404768</v>
      </c>
      <c r="N24" s="289">
        <f t="shared" si="6"/>
        <v>1.7847509449364918</v>
      </c>
      <c r="O24" s="289">
        <f t="shared" si="6"/>
        <v>13.583640332817021</v>
      </c>
      <c r="P24" s="289">
        <f t="shared" si="6"/>
        <v>10.706806842872995</v>
      </c>
      <c r="Q24" s="290">
        <f t="shared" si="6"/>
        <v>12.70474987676214</v>
      </c>
      <c r="S24" s="320"/>
      <c r="T24" s="272"/>
      <c r="U24" s="272"/>
      <c r="V24" s="271"/>
    </row>
    <row r="25" spans="1:22" s="270" customFormat="1" ht="24.75" customHeight="1">
      <c r="A25" s="282">
        <v>14</v>
      </c>
      <c r="B25" s="283" t="s">
        <v>190</v>
      </c>
      <c r="C25" s="284">
        <v>30.207668</v>
      </c>
      <c r="D25" s="286">
        <v>170.894202</v>
      </c>
      <c r="E25" s="285">
        <v>696.8919029999998</v>
      </c>
      <c r="F25" s="286">
        <f>SUM(D25:E25)</f>
        <v>867.7861049999999</v>
      </c>
      <c r="G25" s="287">
        <f>C25+F25</f>
        <v>897.9937729999999</v>
      </c>
      <c r="H25" s="284">
        <v>20.446062</v>
      </c>
      <c r="I25" s="286">
        <v>2.701813</v>
      </c>
      <c r="J25" s="286">
        <v>98.504812</v>
      </c>
      <c r="K25" s="286">
        <f>SUM(I25:J25)</f>
        <v>101.206625</v>
      </c>
      <c r="L25" s="287">
        <f>H25+K25</f>
        <v>121.652687</v>
      </c>
      <c r="M25" s="288">
        <f t="shared" si="6"/>
        <v>67.68500633680164</v>
      </c>
      <c r="N25" s="289">
        <f t="shared" si="6"/>
        <v>1.580985761003173</v>
      </c>
      <c r="O25" s="289">
        <f t="shared" si="6"/>
        <v>14.134876811734177</v>
      </c>
      <c r="P25" s="289">
        <f t="shared" si="6"/>
        <v>11.662623360395937</v>
      </c>
      <c r="Q25" s="290">
        <f t="shared" si="6"/>
        <v>13.547163761902837</v>
      </c>
      <c r="S25" s="320"/>
      <c r="T25" s="272"/>
      <c r="U25" s="272"/>
      <c r="V25" s="271"/>
    </row>
    <row r="26" spans="1:22" s="270" customFormat="1" ht="24.75" customHeight="1" thickBot="1">
      <c r="A26" s="265">
        <v>15</v>
      </c>
      <c r="B26" s="293" t="s">
        <v>222</v>
      </c>
      <c r="C26" s="292">
        <f>'Anne-2'!C22</f>
        <v>29.735277</v>
      </c>
      <c r="D26" s="294">
        <f>'Anne-2'!D22</f>
        <v>169.083723</v>
      </c>
      <c r="E26" s="294">
        <f>'Anne-2'!E22</f>
        <v>704.399222</v>
      </c>
      <c r="F26" s="291">
        <f t="shared" si="0"/>
        <v>873.482945</v>
      </c>
      <c r="G26" s="267">
        <f t="shared" si="1"/>
        <v>903.218222</v>
      </c>
      <c r="H26" s="292">
        <f>'Anne-2'!C9</f>
        <v>19.890296</v>
      </c>
      <c r="I26" s="294">
        <f>'Anne-2'!D9</f>
        <v>2.578171</v>
      </c>
      <c r="J26" s="294">
        <f>'Anne-2'!E9</f>
        <v>95.412549</v>
      </c>
      <c r="K26" s="291">
        <f t="shared" si="3"/>
        <v>97.99072</v>
      </c>
      <c r="L26" s="267">
        <f t="shared" si="2"/>
        <v>117.88101599999999</v>
      </c>
      <c r="M26" s="292">
        <f t="shared" si="5"/>
        <v>66.89124167230727</v>
      </c>
      <c r="N26" s="268">
        <f t="shared" si="5"/>
        <v>1.5247895860443057</v>
      </c>
      <c r="O26" s="268">
        <f t="shared" si="5"/>
        <v>13.54523770328639</v>
      </c>
      <c r="P26" s="268">
        <f t="shared" si="5"/>
        <v>11.218389616067432</v>
      </c>
      <c r="Q26" s="269">
        <f t="shared" si="5"/>
        <v>13.0512220777583</v>
      </c>
      <c r="S26" s="320"/>
      <c r="T26" s="272"/>
      <c r="V26" s="270">
        <f>V23/4</f>
        <v>0</v>
      </c>
    </row>
    <row r="27" ht="15">
      <c r="D27" s="74"/>
    </row>
    <row r="30" spans="6:11" ht="15">
      <c r="F30" s="161">
        <f>(F26-F22)/F22*100</f>
        <v>49.46482019589741</v>
      </c>
      <c r="K30" s="26">
        <f>(K26-K22)/K22*100</f>
        <v>41.09532479274445</v>
      </c>
    </row>
    <row r="35" spans="8:9" ht="15">
      <c r="H35" s="581"/>
      <c r="I35" s="581"/>
    </row>
    <row r="36" spans="8:9" ht="15">
      <c r="H36" s="581"/>
      <c r="I36" s="581"/>
    </row>
    <row r="37" spans="8:9" ht="15">
      <c r="H37" s="581"/>
      <c r="I37" s="581"/>
    </row>
    <row r="38" spans="8:9" ht="15">
      <c r="H38" s="581"/>
      <c r="I38" s="581"/>
    </row>
    <row r="43" ht="15">
      <c r="H43" s="323"/>
    </row>
  </sheetData>
  <sheetProtection/>
  <mergeCells count="38">
    <mergeCell ref="M6:N7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C8:D8"/>
    <mergeCell ref="E8:F8"/>
    <mergeCell ref="H8:I8"/>
    <mergeCell ref="J8:K8"/>
    <mergeCell ref="E6:F7"/>
    <mergeCell ref="G6:G7"/>
    <mergeCell ref="H6:I7"/>
    <mergeCell ref="C6:D7"/>
    <mergeCell ref="D11:F11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H37:I37"/>
    <mergeCell ref="H38:I38"/>
    <mergeCell ref="M8:N8"/>
    <mergeCell ref="O8:P8"/>
    <mergeCell ref="I11:K11"/>
    <mergeCell ref="L11:L12"/>
    <mergeCell ref="H35:I35"/>
    <mergeCell ref="H36:I36"/>
    <mergeCell ref="M11:M12"/>
    <mergeCell ref="N11:P11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7" sqref="N27"/>
    </sheetView>
  </sheetViews>
  <sheetFormatPr defaultColWidth="9.140625" defaultRowHeight="12.75"/>
  <cols>
    <col min="1" max="1" width="9.140625" style="299" customWidth="1"/>
    <col min="2" max="6" width="9.421875" style="299" customWidth="1"/>
    <col min="7" max="9" width="10.140625" style="299" customWidth="1"/>
    <col min="10" max="10" width="10.57421875" style="299" customWidth="1"/>
    <col min="11" max="11" width="10.140625" style="299" customWidth="1"/>
    <col min="12" max="15" width="9.421875" style="299" customWidth="1"/>
    <col min="16" max="16" width="10.00390625" style="299" customWidth="1"/>
    <col min="17" max="17" width="9.140625" style="299" customWidth="1"/>
    <col min="18" max="18" width="22.8515625" style="299" customWidth="1"/>
    <col min="19" max="16384" width="9.140625" style="299" customWidth="1"/>
  </cols>
  <sheetData>
    <row r="1" spans="1:15" ht="15.75">
      <c r="A1" s="298" t="s">
        <v>227</v>
      </c>
      <c r="O1" s="298" t="s">
        <v>177</v>
      </c>
    </row>
    <row r="2" ht="15.75" thickBot="1"/>
    <row r="3" spans="1:16" ht="15">
      <c r="A3" s="594" t="s">
        <v>173</v>
      </c>
      <c r="B3" s="597" t="s">
        <v>174</v>
      </c>
      <c r="C3" s="598"/>
      <c r="D3" s="598"/>
      <c r="E3" s="598"/>
      <c r="F3" s="599"/>
      <c r="G3" s="597" t="s">
        <v>175</v>
      </c>
      <c r="H3" s="598"/>
      <c r="I3" s="598"/>
      <c r="J3" s="598"/>
      <c r="K3" s="599"/>
      <c r="L3" s="597" t="s">
        <v>120</v>
      </c>
      <c r="M3" s="598"/>
      <c r="N3" s="598"/>
      <c r="O3" s="598"/>
      <c r="P3" s="599"/>
    </row>
    <row r="4" spans="1:16" ht="15">
      <c r="A4" s="595"/>
      <c r="B4" s="591" t="s">
        <v>176</v>
      </c>
      <c r="C4" s="593" t="s">
        <v>139</v>
      </c>
      <c r="D4" s="593"/>
      <c r="E4" s="593"/>
      <c r="F4" s="589" t="s">
        <v>70</v>
      </c>
      <c r="G4" s="591" t="s">
        <v>176</v>
      </c>
      <c r="H4" s="593" t="s">
        <v>139</v>
      </c>
      <c r="I4" s="593"/>
      <c r="J4" s="593"/>
      <c r="K4" s="589" t="s">
        <v>70</v>
      </c>
      <c r="L4" s="591" t="s">
        <v>176</v>
      </c>
      <c r="M4" s="593" t="s">
        <v>139</v>
      </c>
      <c r="N4" s="593"/>
      <c r="O4" s="593"/>
      <c r="P4" s="589" t="s">
        <v>70</v>
      </c>
    </row>
    <row r="5" spans="1:16" ht="15.75" thickBot="1">
      <c r="A5" s="596"/>
      <c r="B5" s="592"/>
      <c r="C5" s="300" t="s">
        <v>138</v>
      </c>
      <c r="D5" s="300" t="s">
        <v>131</v>
      </c>
      <c r="E5" s="300" t="s">
        <v>47</v>
      </c>
      <c r="F5" s="590"/>
      <c r="G5" s="592"/>
      <c r="H5" s="300" t="s">
        <v>138</v>
      </c>
      <c r="I5" s="300" t="s">
        <v>131</v>
      </c>
      <c r="J5" s="300" t="s">
        <v>47</v>
      </c>
      <c r="K5" s="590"/>
      <c r="L5" s="592"/>
      <c r="M5" s="300" t="s">
        <v>138</v>
      </c>
      <c r="N5" s="300" t="s">
        <v>131</v>
      </c>
      <c r="O5" s="300" t="s">
        <v>47</v>
      </c>
      <c r="P5" s="590"/>
    </row>
    <row r="6" spans="1:18" ht="15.75" customHeight="1">
      <c r="A6" s="325">
        <v>41000</v>
      </c>
      <c r="B6" s="301">
        <v>-2.84062</v>
      </c>
      <c r="C6" s="302">
        <v>-3.58766</v>
      </c>
      <c r="D6" s="302">
        <v>-3.59284</v>
      </c>
      <c r="E6" s="302">
        <v>-7.1805</v>
      </c>
      <c r="F6" s="303">
        <v>-10.02112</v>
      </c>
      <c r="G6" s="301">
        <v>-2.75705</v>
      </c>
      <c r="H6" s="302">
        <v>62.10981</v>
      </c>
      <c r="I6" s="302">
        <v>-1.55431</v>
      </c>
      <c r="J6" s="302">
        <v>60.5555</v>
      </c>
      <c r="K6" s="303">
        <v>57.79845</v>
      </c>
      <c r="L6" s="446"/>
      <c r="M6" s="440"/>
      <c r="N6" s="440"/>
      <c r="O6" s="440"/>
      <c r="P6" s="441"/>
      <c r="R6" s="299">
        <f>H6*100000</f>
        <v>6210981</v>
      </c>
    </row>
    <row r="7" spans="1:16" ht="15.75" customHeight="1">
      <c r="A7" s="326">
        <v>41030</v>
      </c>
      <c r="B7" s="304">
        <v>-3.64006</v>
      </c>
      <c r="C7" s="305">
        <v>-0.22519</v>
      </c>
      <c r="D7" s="305">
        <v>-0.5929</v>
      </c>
      <c r="E7" s="305">
        <v>-0.81809</v>
      </c>
      <c r="F7" s="306">
        <v>-4.45815</v>
      </c>
      <c r="G7" s="304">
        <v>-3.5875</v>
      </c>
      <c r="H7" s="305">
        <v>21.20285</v>
      </c>
      <c r="I7" s="305">
        <v>11.13474</v>
      </c>
      <c r="J7" s="305">
        <v>32.337590000000006</v>
      </c>
      <c r="K7" s="306">
        <v>28.750090000000007</v>
      </c>
      <c r="L7" s="447"/>
      <c r="M7" s="437"/>
      <c r="N7" s="437"/>
      <c r="O7" s="437"/>
      <c r="P7" s="442"/>
    </row>
    <row r="8" spans="1:16" ht="15.75" customHeight="1">
      <c r="A8" s="326">
        <v>41061</v>
      </c>
      <c r="B8" s="304">
        <v>-1.09442</v>
      </c>
      <c r="C8" s="305">
        <v>6.5999</v>
      </c>
      <c r="D8" s="305">
        <v>-0.95842</v>
      </c>
      <c r="E8" s="305">
        <v>5.64148</v>
      </c>
      <c r="F8" s="306">
        <v>4.54706</v>
      </c>
      <c r="G8" s="304">
        <v>-1.17242</v>
      </c>
      <c r="H8" s="305">
        <v>64.93745</v>
      </c>
      <c r="I8" s="305">
        <v>-44.59592</v>
      </c>
      <c r="J8" s="305">
        <v>20.34153</v>
      </c>
      <c r="K8" s="306">
        <v>19.16911</v>
      </c>
      <c r="L8" s="447"/>
      <c r="M8" s="458">
        <f>C8/H8*100</f>
        <v>10.163472695647888</v>
      </c>
      <c r="N8" s="437"/>
      <c r="O8" s="458">
        <f>E8/J8*100</f>
        <v>27.733803701098196</v>
      </c>
      <c r="P8" s="459">
        <f>F8/K8*100</f>
        <v>23.720767422170358</v>
      </c>
    </row>
    <row r="9" spans="1:16" ht="15.75" customHeight="1" hidden="1">
      <c r="A9" s="326">
        <v>41091</v>
      </c>
      <c r="B9" s="304">
        <v>-0.94857</v>
      </c>
      <c r="C9" s="305">
        <v>6.81866</v>
      </c>
      <c r="D9" s="305">
        <v>-2.10314</v>
      </c>
      <c r="E9" s="305">
        <v>4.715520000000001</v>
      </c>
      <c r="F9" s="306">
        <v>3.7669500000000005</v>
      </c>
      <c r="G9" s="304">
        <v>-0.72608</v>
      </c>
      <c r="H9" s="305">
        <v>24.69893</v>
      </c>
      <c r="I9" s="305">
        <v>-203.53081</v>
      </c>
      <c r="J9" s="305">
        <v>-178.83188</v>
      </c>
      <c r="K9" s="306">
        <v>-179.55796</v>
      </c>
      <c r="L9" s="447"/>
      <c r="M9" s="437"/>
      <c r="N9" s="437"/>
      <c r="O9" s="437"/>
      <c r="P9" s="442"/>
    </row>
    <row r="10" spans="1:16" ht="15.75" customHeight="1" hidden="1">
      <c r="A10" s="326">
        <v>41122</v>
      </c>
      <c r="B10" s="304">
        <v>-1.24371</v>
      </c>
      <c r="C10" s="305">
        <v>5.82018</v>
      </c>
      <c r="D10" s="305">
        <v>-0.90656</v>
      </c>
      <c r="E10" s="305">
        <v>4.91362</v>
      </c>
      <c r="F10" s="306">
        <v>3.66991</v>
      </c>
      <c r="G10" s="304">
        <v>-1.1894</v>
      </c>
      <c r="H10" s="305">
        <v>-65.23839</v>
      </c>
      <c r="I10" s="305">
        <v>13.48999</v>
      </c>
      <c r="J10" s="305">
        <v>-51.7484</v>
      </c>
      <c r="K10" s="306">
        <v>-52.937799999999996</v>
      </c>
      <c r="L10" s="447"/>
      <c r="M10" s="437"/>
      <c r="N10" s="437"/>
      <c r="O10" s="437"/>
      <c r="P10" s="442"/>
    </row>
    <row r="11" spans="1:16" ht="15.75" customHeight="1" hidden="1">
      <c r="A11" s="326">
        <v>41153</v>
      </c>
      <c r="B11" s="311">
        <v>-1.27945</v>
      </c>
      <c r="C11" s="312">
        <v>4.54957</v>
      </c>
      <c r="D11" s="312">
        <v>-0.61941</v>
      </c>
      <c r="E11" s="305">
        <v>3.93016</v>
      </c>
      <c r="F11" s="306">
        <v>2.65071</v>
      </c>
      <c r="G11" s="311">
        <v>-1.25615</v>
      </c>
      <c r="H11" s="312">
        <v>-14.21437</v>
      </c>
      <c r="I11" s="312">
        <v>-3.24297</v>
      </c>
      <c r="J11" s="305">
        <v>-17.457340000000002</v>
      </c>
      <c r="K11" s="306">
        <v>-18.713490000000004</v>
      </c>
      <c r="L11" s="447"/>
      <c r="M11" s="437"/>
      <c r="N11" s="437"/>
      <c r="O11" s="437"/>
      <c r="P11" s="442"/>
    </row>
    <row r="12" spans="1:16" ht="15.75" customHeight="1" hidden="1">
      <c r="A12" s="326">
        <v>41183</v>
      </c>
      <c r="B12" s="311">
        <v>-1.46914</v>
      </c>
      <c r="C12" s="312">
        <v>4.38323</v>
      </c>
      <c r="D12" s="312">
        <v>-0.81175</v>
      </c>
      <c r="E12" s="305">
        <v>3.57148</v>
      </c>
      <c r="F12" s="306">
        <v>2.1023400000000003</v>
      </c>
      <c r="G12" s="311">
        <v>-1.38132</v>
      </c>
      <c r="H12" s="312">
        <v>5.97524</v>
      </c>
      <c r="I12" s="312">
        <v>-29.35126</v>
      </c>
      <c r="J12" s="305">
        <v>-23.37602</v>
      </c>
      <c r="K12" s="306">
        <v>-24.75734</v>
      </c>
      <c r="L12" s="447"/>
      <c r="M12" s="437"/>
      <c r="N12" s="437"/>
      <c r="O12" s="437"/>
      <c r="P12" s="442"/>
    </row>
    <row r="13" spans="1:16" ht="15.75" customHeight="1" hidden="1">
      <c r="A13" s="326">
        <v>41214</v>
      </c>
      <c r="B13" s="311">
        <v>-0.80704</v>
      </c>
      <c r="C13" s="315">
        <v>-0.30571</v>
      </c>
      <c r="D13" s="315">
        <v>-0.5045</v>
      </c>
      <c r="E13" s="305">
        <v>-0.8102099999999999</v>
      </c>
      <c r="F13" s="306">
        <v>-1.6172499999999999</v>
      </c>
      <c r="G13" s="311">
        <v>-0.76737</v>
      </c>
      <c r="H13" s="315">
        <v>-90.19644</v>
      </c>
      <c r="I13" s="315">
        <v>-46.26362</v>
      </c>
      <c r="J13" s="305">
        <v>-136.46006</v>
      </c>
      <c r="K13" s="306">
        <v>-137.22743</v>
      </c>
      <c r="L13" s="447"/>
      <c r="M13" s="437"/>
      <c r="N13" s="437"/>
      <c r="O13" s="437"/>
      <c r="P13" s="442"/>
    </row>
    <row r="14" spans="1:16" ht="15.75" customHeight="1" hidden="1">
      <c r="A14" s="326">
        <v>41244</v>
      </c>
      <c r="B14" s="311">
        <v>-0.94327</v>
      </c>
      <c r="C14" s="315">
        <v>1.78405</v>
      </c>
      <c r="D14" s="315">
        <v>-1.65392</v>
      </c>
      <c r="E14" s="305">
        <v>0.13012999999999986</v>
      </c>
      <c r="F14" s="306">
        <v>-0.8131400000000002</v>
      </c>
      <c r="G14" s="311">
        <v>-0.83371</v>
      </c>
      <c r="H14" s="315">
        <v>-66.62281</v>
      </c>
      <c r="I14" s="315">
        <v>-192.159</v>
      </c>
      <c r="J14" s="305">
        <v>-258.78181</v>
      </c>
      <c r="K14" s="306">
        <v>-259.61552</v>
      </c>
      <c r="L14" s="447"/>
      <c r="M14" s="437"/>
      <c r="N14" s="437"/>
      <c r="O14" s="437"/>
      <c r="P14" s="442"/>
    </row>
    <row r="15" spans="1:16" ht="15.75" customHeight="1" hidden="1">
      <c r="A15" s="326">
        <v>41275</v>
      </c>
      <c r="B15" s="311">
        <v>-2.81497</v>
      </c>
      <c r="C15" s="315">
        <v>3.68356</v>
      </c>
      <c r="D15" s="315">
        <v>-0.4981</v>
      </c>
      <c r="E15" s="315">
        <v>3.18546</v>
      </c>
      <c r="F15" s="316">
        <v>0.37048999999999976</v>
      </c>
      <c r="G15" s="311">
        <v>-2.64825</v>
      </c>
      <c r="H15" s="315">
        <v>18.2383</v>
      </c>
      <c r="I15" s="315">
        <v>-38.32713</v>
      </c>
      <c r="J15" s="315">
        <v>-20.088829999999998</v>
      </c>
      <c r="K15" s="316">
        <v>-22.73708</v>
      </c>
      <c r="L15" s="448"/>
      <c r="M15" s="443"/>
      <c r="N15" s="443"/>
      <c r="O15" s="443"/>
      <c r="P15" s="444"/>
    </row>
    <row r="16" spans="1:16" ht="15.75" customHeight="1" hidden="1">
      <c r="A16" s="326">
        <v>41306</v>
      </c>
      <c r="B16" s="311">
        <v>-1.68503</v>
      </c>
      <c r="C16" s="315">
        <v>4.88272</v>
      </c>
      <c r="D16" s="315">
        <v>-0.58598</v>
      </c>
      <c r="E16" s="315">
        <v>4.29674</v>
      </c>
      <c r="F16" s="316">
        <v>2.6117099999999995</v>
      </c>
      <c r="G16" s="311">
        <v>-1.77333</v>
      </c>
      <c r="H16" s="315">
        <v>-11.64706</v>
      </c>
      <c r="I16" s="315">
        <v>1.01908</v>
      </c>
      <c r="J16" s="315">
        <v>-10.627979999999999</v>
      </c>
      <c r="K16" s="316">
        <v>-12.401309999999999</v>
      </c>
      <c r="L16" s="448"/>
      <c r="M16" s="443"/>
      <c r="N16" s="443"/>
      <c r="O16" s="443"/>
      <c r="P16" s="444"/>
    </row>
    <row r="17" spans="1:16" ht="15.75" customHeight="1" hidden="1">
      <c r="A17" s="326">
        <v>41334</v>
      </c>
      <c r="B17" s="311">
        <v>-1.45042</v>
      </c>
      <c r="C17" s="315">
        <v>5.55407</v>
      </c>
      <c r="D17" s="315">
        <v>-0.19349</v>
      </c>
      <c r="E17" s="315">
        <v>5.360580000000001</v>
      </c>
      <c r="F17" s="316">
        <v>3.9101600000000003</v>
      </c>
      <c r="G17" s="311">
        <v>-1.34214</v>
      </c>
      <c r="H17" s="315">
        <v>62.10953</v>
      </c>
      <c r="I17" s="315">
        <v>-1.07886</v>
      </c>
      <c r="J17" s="315">
        <v>61.03067</v>
      </c>
      <c r="K17" s="316">
        <v>59.68853</v>
      </c>
      <c r="L17" s="448"/>
      <c r="M17" s="443"/>
      <c r="N17" s="443"/>
      <c r="O17" s="443"/>
      <c r="P17" s="444"/>
    </row>
    <row r="18" spans="1:16" s="298" customFormat="1" ht="15.75" customHeight="1" thickBot="1">
      <c r="A18" s="327" t="s">
        <v>47</v>
      </c>
      <c r="B18" s="307">
        <f>SUM(B6:B8)</f>
        <v>-7.575099999999999</v>
      </c>
      <c r="C18" s="308">
        <f aca="true" t="shared" si="0" ref="C18:K18">SUM(C6:C8)</f>
        <v>2.78705</v>
      </c>
      <c r="D18" s="308">
        <f t="shared" si="0"/>
        <v>-5.14416</v>
      </c>
      <c r="E18" s="308">
        <f t="shared" si="0"/>
        <v>-2.3571100000000005</v>
      </c>
      <c r="F18" s="309">
        <f t="shared" si="0"/>
        <v>-9.93221</v>
      </c>
      <c r="G18" s="307">
        <f t="shared" si="0"/>
        <v>-7.51697</v>
      </c>
      <c r="H18" s="308">
        <f t="shared" si="0"/>
        <v>148.25011</v>
      </c>
      <c r="I18" s="308">
        <f t="shared" si="0"/>
        <v>-35.01549</v>
      </c>
      <c r="J18" s="308">
        <f t="shared" si="0"/>
        <v>113.23462</v>
      </c>
      <c r="K18" s="309">
        <f t="shared" si="0"/>
        <v>105.71765</v>
      </c>
      <c r="L18" s="449"/>
      <c r="M18" s="438"/>
      <c r="N18" s="438"/>
      <c r="O18" s="438"/>
      <c r="P18" s="445"/>
    </row>
    <row r="19" spans="1:16" s="298" customFormat="1" ht="15.75" customHeight="1">
      <c r="A19" s="455">
        <v>41365</v>
      </c>
      <c r="B19" s="311">
        <v>-2.80336</v>
      </c>
      <c r="C19" s="312">
        <v>-21.48903</v>
      </c>
      <c r="D19" s="312">
        <v>-0.87138</v>
      </c>
      <c r="E19" s="312">
        <f>SUM(C19:D19)</f>
        <v>-22.360409999999998</v>
      </c>
      <c r="F19" s="456">
        <f>B19+E19</f>
        <v>-25.16377</v>
      </c>
      <c r="G19" s="311">
        <v>-3.07771</v>
      </c>
      <c r="H19" s="312">
        <v>16.437789988292455</v>
      </c>
      <c r="I19" s="312">
        <v>-23.22487</v>
      </c>
      <c r="J19" s="312">
        <f>SUM(H19:I19)</f>
        <v>-6.787080011707545</v>
      </c>
      <c r="K19" s="456">
        <f>J19+G19</f>
        <v>-9.864790011707544</v>
      </c>
      <c r="L19" s="452"/>
      <c r="M19" s="453"/>
      <c r="N19" s="453"/>
      <c r="O19" s="453"/>
      <c r="P19" s="454"/>
    </row>
    <row r="20" spans="1:16" s="298" customFormat="1" ht="15.75" customHeight="1">
      <c r="A20" s="455">
        <v>41395</v>
      </c>
      <c r="B20" s="311">
        <v>-1.49936</v>
      </c>
      <c r="C20" s="312">
        <v>-8.83479</v>
      </c>
      <c r="D20" s="312">
        <v>-0.2079</v>
      </c>
      <c r="E20" s="312">
        <f>SUM(C20:D20)</f>
        <v>-9.04269</v>
      </c>
      <c r="F20" s="456">
        <f>B20+E20</f>
        <v>-10.54205</v>
      </c>
      <c r="G20" s="311">
        <v>-0.51245</v>
      </c>
      <c r="H20" s="312">
        <v>22.609780011707546</v>
      </c>
      <c r="I20" s="312">
        <v>9.85827</v>
      </c>
      <c r="J20" s="312">
        <f>SUM(H20:I20)</f>
        <v>32.46805001170755</v>
      </c>
      <c r="K20" s="456">
        <f>J20+G20</f>
        <v>31.955600011707546</v>
      </c>
      <c r="L20" s="452"/>
      <c r="M20" s="453"/>
      <c r="N20" s="453"/>
      <c r="O20" s="453"/>
      <c r="P20" s="454"/>
    </row>
    <row r="21" spans="1:16" ht="15.75" customHeight="1">
      <c r="A21" s="326">
        <v>41426</v>
      </c>
      <c r="B21" s="304">
        <f>('Anne-8'!D42)/100000</f>
        <v>-1.25494</v>
      </c>
      <c r="C21" s="305">
        <f>('Anne-6'!D43)/100000</f>
        <v>-0.59881</v>
      </c>
      <c r="D21" s="305">
        <f>'Anne-7'!F42/100000</f>
        <v>-0.15714</v>
      </c>
      <c r="E21" s="305">
        <f>SUM(C21:D21)</f>
        <v>-0.7559499999999999</v>
      </c>
      <c r="F21" s="306">
        <f>E21+B21</f>
        <v>-2.01089</v>
      </c>
      <c r="G21" s="304">
        <f>('Anne-8'!O42)/100000</f>
        <v>-1.13375</v>
      </c>
      <c r="H21" s="305">
        <f>('Anne-6'!Z43)/100000</f>
        <v>37.35378</v>
      </c>
      <c r="I21" s="305">
        <f>('Anne-7'!N42)/100000</f>
        <v>-4.73819</v>
      </c>
      <c r="J21" s="305">
        <f>SUM(H21:I21)</f>
        <v>32.61559</v>
      </c>
      <c r="K21" s="306">
        <f>J21+G21</f>
        <v>31.48184</v>
      </c>
      <c r="L21" s="447"/>
      <c r="M21" s="437"/>
      <c r="N21" s="443"/>
      <c r="O21" s="443"/>
      <c r="P21" s="444"/>
    </row>
    <row r="22" spans="1:16" s="298" customFormat="1" ht="15.75" customHeight="1" thickBot="1">
      <c r="A22" s="328" t="s">
        <v>47</v>
      </c>
      <c r="B22" s="307">
        <f>SUM(B19:B21)</f>
        <v>-5.55766</v>
      </c>
      <c r="C22" s="308">
        <f aca="true" t="shared" si="1" ref="C22:K22">SUM(C19:C21)</f>
        <v>-30.922629999999998</v>
      </c>
      <c r="D22" s="308">
        <f t="shared" si="1"/>
        <v>-1.23642</v>
      </c>
      <c r="E22" s="308">
        <f t="shared" si="1"/>
        <v>-32.15905</v>
      </c>
      <c r="F22" s="309">
        <f t="shared" si="1"/>
        <v>-37.716710000000006</v>
      </c>
      <c r="G22" s="307">
        <f t="shared" si="1"/>
        <v>-4.72391</v>
      </c>
      <c r="H22" s="308">
        <f t="shared" si="1"/>
        <v>76.40135000000001</v>
      </c>
      <c r="I22" s="308">
        <f t="shared" si="1"/>
        <v>-18.10479</v>
      </c>
      <c r="J22" s="308">
        <f t="shared" si="1"/>
        <v>58.29656</v>
      </c>
      <c r="K22" s="309">
        <f t="shared" si="1"/>
        <v>53.572649999999996</v>
      </c>
      <c r="L22" s="449"/>
      <c r="M22" s="438"/>
      <c r="N22" s="450"/>
      <c r="O22" s="450"/>
      <c r="P22" s="451"/>
    </row>
    <row r="23" spans="1:16" s="298" customFormat="1" ht="19.5" customHeight="1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3"/>
      <c r="M23" s="423"/>
      <c r="N23" s="424"/>
      <c r="O23" s="424"/>
      <c r="P23" s="424"/>
    </row>
    <row r="24" ht="15.75">
      <c r="A24" s="298" t="s">
        <v>205</v>
      </c>
    </row>
    <row r="28" ht="15">
      <c r="H28" s="310"/>
    </row>
    <row r="33" ht="15">
      <c r="I33" s="318"/>
    </row>
  </sheetData>
  <sheetProtection/>
  <mergeCells count="13"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  <mergeCell ref="L4:L5"/>
    <mergeCell ref="M4:O4"/>
  </mergeCells>
  <printOptions horizontalCentered="1"/>
  <pageMargins left="0.1968503937007874" right="0.1968503937007874" top="1.3779527559055118" bottom="0.3937007874015748" header="0.31496062992125984" footer="0.31496062992125984"/>
  <pageSetup horizontalDpi="600" verticalDpi="600" orientation="landscape" paperSize="9" scale="94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S15" sqref="S15"/>
    </sheetView>
  </sheetViews>
  <sheetFormatPr defaultColWidth="9.140625" defaultRowHeight="12.75"/>
  <cols>
    <col min="1" max="1" width="18.7109375" style="405" customWidth="1"/>
    <col min="2" max="2" width="10.140625" style="405" customWidth="1"/>
    <col min="3" max="3" width="10.28125" style="405" customWidth="1"/>
    <col min="4" max="4" width="11.00390625" style="405" customWidth="1"/>
    <col min="5" max="6" width="8.8515625" style="405" customWidth="1"/>
    <col min="7" max="7" width="7.7109375" style="405" customWidth="1"/>
    <col min="8" max="8" width="8.00390625" style="405" customWidth="1"/>
    <col min="9" max="9" width="7.57421875" style="405" customWidth="1"/>
    <col min="10" max="10" width="7.8515625" style="405" customWidth="1"/>
    <col min="11" max="11" width="9.00390625" style="405" customWidth="1"/>
    <col min="12" max="12" width="7.7109375" style="405" customWidth="1"/>
    <col min="13" max="13" width="9.00390625" style="405" customWidth="1"/>
    <col min="14" max="14" width="7.28125" style="405" customWidth="1"/>
    <col min="15" max="15" width="12.28125" style="405" customWidth="1"/>
    <col min="16" max="16384" width="9.140625" style="405" customWidth="1"/>
  </cols>
  <sheetData>
    <row r="1" spans="1:13" ht="1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 t="s">
        <v>201</v>
      </c>
      <c r="L1" s="324"/>
      <c r="M1" s="324"/>
    </row>
    <row r="2" spans="1:13" ht="15.75">
      <c r="A2" s="412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5">
      <c r="A3" s="324"/>
      <c r="B3" s="324"/>
      <c r="C3" s="324"/>
      <c r="D3" s="324"/>
      <c r="E3" s="324"/>
      <c r="F3" s="324"/>
      <c r="G3" s="324"/>
      <c r="H3" s="324"/>
      <c r="I3" s="324"/>
      <c r="J3" s="324"/>
      <c r="M3" s="324"/>
    </row>
    <row r="4" spans="1:4" ht="29.25" customHeight="1">
      <c r="A4" s="407" t="s">
        <v>197</v>
      </c>
      <c r="B4" s="408" t="s">
        <v>198</v>
      </c>
      <c r="C4" s="408" t="s">
        <v>199</v>
      </c>
      <c r="D4" s="408" t="s">
        <v>200</v>
      </c>
    </row>
    <row r="5" spans="1:13" ht="14.25">
      <c r="A5" s="3" t="s">
        <v>67</v>
      </c>
      <c r="B5" s="386">
        <v>123.758712</v>
      </c>
      <c r="C5" s="387">
        <v>121.32066537360001</v>
      </c>
      <c r="D5" s="387">
        <f>C5/B5*100</f>
        <v>98.03</v>
      </c>
      <c r="F5" s="405" t="s">
        <v>67</v>
      </c>
      <c r="G5" s="406">
        <v>123.758712</v>
      </c>
      <c r="H5" s="405">
        <f aca="true" t="shared" si="0" ref="H5:H17">G5*I5%</f>
        <v>121.32066537360001</v>
      </c>
      <c r="I5" s="405">
        <v>98.03</v>
      </c>
      <c r="M5" s="406"/>
    </row>
    <row r="6" spans="1:13" ht="14.25">
      <c r="A6" s="3" t="s">
        <v>75</v>
      </c>
      <c r="B6" s="386">
        <v>189.649322</v>
      </c>
      <c r="C6" s="387">
        <v>180.47029481520002</v>
      </c>
      <c r="D6" s="387">
        <f aca="true" t="shared" si="1" ref="D6:D18">C6/B6*100</f>
        <v>95.16</v>
      </c>
      <c r="F6" s="405" t="s">
        <v>75</v>
      </c>
      <c r="G6" s="406">
        <v>189.649322</v>
      </c>
      <c r="H6" s="405">
        <f t="shared" si="0"/>
        <v>180.47029481520002</v>
      </c>
      <c r="I6" s="405">
        <v>95.16</v>
      </c>
      <c r="M6" s="406"/>
    </row>
    <row r="7" spans="1:13" ht="14.25">
      <c r="A7" s="3" t="s">
        <v>194</v>
      </c>
      <c r="B7" s="386">
        <v>154.686843</v>
      </c>
      <c r="C7" s="387">
        <v>147.1535937459</v>
      </c>
      <c r="D7" s="387">
        <f t="shared" si="1"/>
        <v>95.13</v>
      </c>
      <c r="F7" s="405" t="s">
        <v>194</v>
      </c>
      <c r="G7" s="406">
        <v>154.686843</v>
      </c>
      <c r="H7" s="405">
        <f t="shared" si="0"/>
        <v>147.1535937459</v>
      </c>
      <c r="I7" s="405">
        <v>95.13</v>
      </c>
      <c r="M7" s="406"/>
    </row>
    <row r="8" spans="1:13" ht="14.25">
      <c r="A8" s="3" t="s">
        <v>65</v>
      </c>
      <c r="B8" s="386">
        <v>124.89896099999999</v>
      </c>
      <c r="C8" s="387">
        <v>108.38731835579999</v>
      </c>
      <c r="D8" s="387">
        <f t="shared" si="1"/>
        <v>86.78</v>
      </c>
      <c r="F8" s="405" t="s">
        <v>65</v>
      </c>
      <c r="G8" s="406">
        <v>124.89896099999999</v>
      </c>
      <c r="H8" s="405">
        <f t="shared" si="0"/>
        <v>108.38731835579999</v>
      </c>
      <c r="I8" s="405">
        <v>86.78</v>
      </c>
      <c r="M8" s="406"/>
    </row>
    <row r="9" spans="1:13" ht="14.25">
      <c r="A9" s="3" t="s">
        <v>195</v>
      </c>
      <c r="B9" s="386">
        <v>65.265214</v>
      </c>
      <c r="C9" s="387">
        <v>44.22370900640001</v>
      </c>
      <c r="D9" s="387">
        <f t="shared" si="1"/>
        <v>67.76</v>
      </c>
      <c r="F9" s="405" t="s">
        <v>195</v>
      </c>
      <c r="G9" s="406">
        <v>65.265214</v>
      </c>
      <c r="H9" s="405">
        <f t="shared" si="0"/>
        <v>44.22370900640001</v>
      </c>
      <c r="I9" s="405">
        <v>67.76</v>
      </c>
      <c r="M9" s="406"/>
    </row>
    <row r="10" spans="1:13" ht="14.25">
      <c r="A10" s="3" t="s">
        <v>68</v>
      </c>
      <c r="B10" s="386">
        <v>60.358016</v>
      </c>
      <c r="C10" s="387">
        <v>39.4801782656</v>
      </c>
      <c r="D10" s="387">
        <f t="shared" si="1"/>
        <v>65.41</v>
      </c>
      <c r="F10" s="405" t="s">
        <v>68</v>
      </c>
      <c r="G10" s="406">
        <v>60.358016</v>
      </c>
      <c r="H10" s="405">
        <f t="shared" si="0"/>
        <v>39.4801782656</v>
      </c>
      <c r="I10" s="405">
        <v>65.41</v>
      </c>
      <c r="M10" s="406"/>
    </row>
    <row r="11" spans="1:13" ht="14.25">
      <c r="A11" s="3" t="s">
        <v>134</v>
      </c>
      <c r="B11" s="386">
        <v>31.999931</v>
      </c>
      <c r="C11" s="387">
        <v>20.489555819299998</v>
      </c>
      <c r="D11" s="387">
        <f>C11/B11*100</f>
        <v>64.03</v>
      </c>
      <c r="F11" s="405" t="s">
        <v>134</v>
      </c>
      <c r="G11" s="406">
        <v>31.999931</v>
      </c>
      <c r="H11" s="405">
        <f t="shared" si="0"/>
        <v>20.489555819299998</v>
      </c>
      <c r="I11" s="405">
        <v>64.03</v>
      </c>
      <c r="M11" s="406"/>
    </row>
    <row r="12" spans="1:13" ht="14.25">
      <c r="A12" s="3" t="s">
        <v>144</v>
      </c>
      <c r="B12" s="386">
        <v>2.285177</v>
      </c>
      <c r="C12" s="387">
        <v>1.3795613549</v>
      </c>
      <c r="D12" s="387">
        <f>C12/B12*100</f>
        <v>60.370000000000005</v>
      </c>
      <c r="F12" s="405" t="s">
        <v>144</v>
      </c>
      <c r="G12" s="406">
        <v>2.285177</v>
      </c>
      <c r="H12" s="405">
        <f t="shared" si="0"/>
        <v>1.3795613549</v>
      </c>
      <c r="I12" s="405">
        <v>60.37</v>
      </c>
      <c r="M12" s="406"/>
    </row>
    <row r="13" spans="1:13" ht="14.25">
      <c r="A13" s="3" t="s">
        <v>239</v>
      </c>
      <c r="B13" s="386">
        <v>1.442686</v>
      </c>
      <c r="C13" s="387">
        <v>0.838921909</v>
      </c>
      <c r="D13" s="387">
        <f t="shared" si="1"/>
        <v>58.15</v>
      </c>
      <c r="F13" s="405" t="s">
        <v>188</v>
      </c>
      <c r="G13" s="406">
        <v>1.442686</v>
      </c>
      <c r="H13" s="405">
        <f t="shared" si="0"/>
        <v>0.838921909</v>
      </c>
      <c r="I13" s="405">
        <v>58.15</v>
      </c>
      <c r="M13" s="406"/>
    </row>
    <row r="14" spans="1:13" ht="14.25">
      <c r="A14" s="3" t="s">
        <v>1</v>
      </c>
      <c r="B14" s="386">
        <v>98.066315</v>
      </c>
      <c r="C14" s="387">
        <v>55.50553429000001</v>
      </c>
      <c r="D14" s="387">
        <f t="shared" si="1"/>
        <v>56.60000000000001</v>
      </c>
      <c r="F14" s="405" t="s">
        <v>1</v>
      </c>
      <c r="G14" s="406">
        <v>98.066315</v>
      </c>
      <c r="H14" s="405">
        <f t="shared" si="0"/>
        <v>55.50553429000001</v>
      </c>
      <c r="I14" s="405">
        <v>56.6</v>
      </c>
      <c r="M14" s="406"/>
    </row>
    <row r="15" spans="1:13" ht="14.25">
      <c r="A15" s="3" t="s">
        <v>187</v>
      </c>
      <c r="B15" s="386">
        <v>10.119469</v>
      </c>
      <c r="C15" s="387">
        <v>5.404808392900001</v>
      </c>
      <c r="D15" s="387">
        <f t="shared" si="1"/>
        <v>53.410000000000004</v>
      </c>
      <c r="F15" s="405" t="s">
        <v>187</v>
      </c>
      <c r="G15" s="406">
        <v>10.119469</v>
      </c>
      <c r="H15" s="405">
        <f t="shared" si="0"/>
        <v>5.404808392900001</v>
      </c>
      <c r="I15" s="405">
        <v>53.41</v>
      </c>
      <c r="M15" s="406"/>
    </row>
    <row r="16" spans="1:13" ht="14.25">
      <c r="A16" s="3" t="s">
        <v>196</v>
      </c>
      <c r="B16" s="386">
        <v>2.925089</v>
      </c>
      <c r="C16" s="387">
        <v>1.2975694804</v>
      </c>
      <c r="D16" s="387">
        <f t="shared" si="1"/>
        <v>44.36</v>
      </c>
      <c r="F16" s="405" t="s">
        <v>185</v>
      </c>
      <c r="G16" s="406">
        <v>2.925089</v>
      </c>
      <c r="H16" s="405">
        <f t="shared" si="0"/>
        <v>1.2975694804</v>
      </c>
      <c r="I16" s="406">
        <v>44.36</v>
      </c>
      <c r="M16" s="406"/>
    </row>
    <row r="17" spans="1:13" ht="14.25">
      <c r="A17" s="388" t="s">
        <v>2</v>
      </c>
      <c r="B17" s="386">
        <v>4.898467</v>
      </c>
      <c r="C17" s="387">
        <v>2.0211074842</v>
      </c>
      <c r="D17" s="387">
        <f t="shared" si="1"/>
        <v>41.26</v>
      </c>
      <c r="F17" s="405" t="s">
        <v>2</v>
      </c>
      <c r="G17" s="406">
        <v>4.898467</v>
      </c>
      <c r="H17" s="405">
        <f t="shared" si="0"/>
        <v>2.0211074842</v>
      </c>
      <c r="I17" s="405">
        <v>41.26</v>
      </c>
      <c r="M17" s="406"/>
    </row>
    <row r="18" spans="1:14" ht="15">
      <c r="A18" s="175" t="s">
        <v>47</v>
      </c>
      <c r="B18" s="386">
        <f>SUM(B5:B17)</f>
        <v>870.354202</v>
      </c>
      <c r="C18" s="386">
        <f>SUM(C5:C17)</f>
        <v>727.9728182931999</v>
      </c>
      <c r="D18" s="387">
        <f t="shared" si="1"/>
        <v>83.64098393738782</v>
      </c>
      <c r="H18" s="405">
        <f>SUM(H5:H17)</f>
        <v>727.9728182931999</v>
      </c>
      <c r="N18" s="406"/>
    </row>
    <row r="31" spans="12:17" ht="14.25">
      <c r="L31" s="405" t="s">
        <v>202</v>
      </c>
      <c r="Q31" s="410"/>
    </row>
    <row r="32" spans="1:15" ht="14.25">
      <c r="A32" s="177"/>
      <c r="B32" s="403" t="str">
        <f>A5</f>
        <v>Idea</v>
      </c>
      <c r="C32" s="403" t="str">
        <f>A6</f>
        <v>Bharti Airtel</v>
      </c>
      <c r="D32" s="403" t="str">
        <f>A7</f>
        <v>Vodaphone</v>
      </c>
      <c r="E32" s="403" t="str">
        <f>A8</f>
        <v>Reliance</v>
      </c>
      <c r="F32" s="403" t="str">
        <f>A9</f>
        <v>Tata</v>
      </c>
      <c r="G32" s="403" t="str">
        <f>A10</f>
        <v>Aircel</v>
      </c>
      <c r="H32" s="434" t="str">
        <f>A11</f>
        <v>Uninor</v>
      </c>
      <c r="I32" s="403" t="str">
        <f>A12</f>
        <v>Vidiocon</v>
      </c>
      <c r="J32" s="435" t="str">
        <f>A13</f>
        <v>Quadrant </v>
      </c>
      <c r="K32" s="435" t="str">
        <f>A14</f>
        <v>BSNL</v>
      </c>
      <c r="L32" s="436" t="str">
        <f>A15</f>
        <v>Sistema Shyam</v>
      </c>
      <c r="M32" s="403" t="str">
        <f>A16</f>
        <v>Loop</v>
      </c>
      <c r="N32" s="403" t="str">
        <f>A17</f>
        <v>MTNL</v>
      </c>
      <c r="O32" s="411" t="s">
        <v>47</v>
      </c>
    </row>
    <row r="33" spans="1:15" ht="14.25">
      <c r="A33" s="177" t="s">
        <v>198</v>
      </c>
      <c r="B33" s="409">
        <f>B5</f>
        <v>123.758712</v>
      </c>
      <c r="C33" s="409">
        <f>B6</f>
        <v>189.649322</v>
      </c>
      <c r="D33" s="409">
        <f>B7</f>
        <v>154.686843</v>
      </c>
      <c r="E33" s="409">
        <f>B8</f>
        <v>124.89896099999999</v>
      </c>
      <c r="F33" s="409">
        <f>B9</f>
        <v>65.265214</v>
      </c>
      <c r="G33" s="409">
        <f>B10</f>
        <v>60.358016</v>
      </c>
      <c r="H33" s="409">
        <f>B11</f>
        <v>31.999931</v>
      </c>
      <c r="I33" s="409">
        <f>B12</f>
        <v>2.285177</v>
      </c>
      <c r="J33" s="409">
        <f>B13</f>
        <v>1.442686</v>
      </c>
      <c r="K33" s="409">
        <f>B14</f>
        <v>98.066315</v>
      </c>
      <c r="L33" s="409">
        <f>B15</f>
        <v>10.119469</v>
      </c>
      <c r="M33" s="409">
        <f>B16</f>
        <v>2.925089</v>
      </c>
      <c r="N33" s="409">
        <f>B17</f>
        <v>4.898467</v>
      </c>
      <c r="O33" s="409">
        <f>B18</f>
        <v>870.354202</v>
      </c>
    </row>
    <row r="34" spans="1:15" ht="14.25">
      <c r="A34" s="177" t="s">
        <v>199</v>
      </c>
      <c r="B34" s="409">
        <f>C5</f>
        <v>121.32066537360001</v>
      </c>
      <c r="C34" s="409">
        <f>C6</f>
        <v>180.47029481520002</v>
      </c>
      <c r="D34" s="409">
        <f>C7</f>
        <v>147.1535937459</v>
      </c>
      <c r="E34" s="409">
        <f>C8</f>
        <v>108.38731835579999</v>
      </c>
      <c r="F34" s="409">
        <f>C9</f>
        <v>44.22370900640001</v>
      </c>
      <c r="G34" s="409">
        <f>C10</f>
        <v>39.4801782656</v>
      </c>
      <c r="H34" s="409">
        <f>C11</f>
        <v>20.489555819299998</v>
      </c>
      <c r="I34" s="409">
        <f>C12</f>
        <v>1.3795613549</v>
      </c>
      <c r="J34" s="409">
        <f>C13</f>
        <v>0.838921909</v>
      </c>
      <c r="K34" s="409">
        <f>C14</f>
        <v>55.50553429000001</v>
      </c>
      <c r="L34" s="409">
        <f>C15</f>
        <v>5.404808392900001</v>
      </c>
      <c r="M34" s="409">
        <f>C16</f>
        <v>1.2975694804</v>
      </c>
      <c r="N34" s="409">
        <f>C17</f>
        <v>2.0211074842</v>
      </c>
      <c r="O34" s="409">
        <f>C18</f>
        <v>727.9728182931999</v>
      </c>
    </row>
    <row r="36" ht="14.25">
      <c r="A36" s="405" t="s">
        <v>203</v>
      </c>
    </row>
    <row r="38" spans="9:15" ht="14.25">
      <c r="I38" s="405">
        <f>I34/I33*100</f>
        <v>60.370000000000005</v>
      </c>
      <c r="K38" s="405">
        <f>K34/K33*100</f>
        <v>56.60000000000001</v>
      </c>
      <c r="N38" s="405">
        <f>0.3988*N33</f>
        <v>1.9535086396</v>
      </c>
      <c r="O38" s="406">
        <f>O34/O33*100</f>
        <v>83.64098393738782</v>
      </c>
    </row>
    <row r="42" spans="2:3" ht="14.25">
      <c r="B42" s="406"/>
      <c r="C42" s="406"/>
    </row>
    <row r="43" spans="2:3" ht="14.25">
      <c r="B43" s="406"/>
      <c r="C43" s="406"/>
    </row>
    <row r="44" spans="2:3" ht="14.25">
      <c r="B44" s="406"/>
      <c r="C44" s="406"/>
    </row>
    <row r="45" spans="2:3" ht="14.25">
      <c r="B45" s="406"/>
      <c r="C45" s="406"/>
    </row>
    <row r="46" spans="2:3" ht="14.25">
      <c r="B46" s="406"/>
      <c r="C46" s="406"/>
    </row>
    <row r="47" spans="2:3" ht="14.25">
      <c r="B47" s="406"/>
      <c r="C47" s="406"/>
    </row>
    <row r="48" spans="2:3" ht="14.25">
      <c r="B48" s="406"/>
      <c r="C48" s="406"/>
    </row>
    <row r="49" spans="2:3" ht="14.25">
      <c r="B49" s="406"/>
      <c r="C49" s="406"/>
    </row>
    <row r="50" spans="2:3" ht="14.25">
      <c r="B50" s="406"/>
      <c r="C50" s="406"/>
    </row>
    <row r="51" spans="2:3" ht="14.25">
      <c r="B51" s="406"/>
      <c r="C51" s="406"/>
    </row>
    <row r="52" spans="2:3" ht="14.25">
      <c r="B52" s="406"/>
      <c r="C52" s="406"/>
    </row>
    <row r="53" spans="2:3" ht="14.25">
      <c r="B53" s="406"/>
      <c r="C53" s="406"/>
    </row>
    <row r="54" spans="2:3" ht="14.25">
      <c r="B54" s="406"/>
      <c r="C54" s="406"/>
    </row>
    <row r="55" spans="2:4" ht="14.25">
      <c r="B55" s="406"/>
      <c r="C55" s="406"/>
      <c r="D55" s="406"/>
    </row>
    <row r="57" ht="14.25">
      <c r="E57" s="406"/>
    </row>
  </sheetData>
  <sheetProtection/>
  <printOptions horizontalCentered="1" vertic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9" sqref="AB9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10.710937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10.140625" style="0" hidden="1" customWidth="1"/>
    <col min="16" max="16" width="12.28125" style="0" hidden="1" customWidth="1"/>
    <col min="17" max="17" width="11.8515625" style="0" hidden="1" customWidth="1"/>
    <col min="18" max="18" width="10.140625" style="0" hidden="1" customWidth="1"/>
    <col min="19" max="19" width="13.140625" style="0" customWidth="1"/>
    <col min="20" max="20" width="13.00390625" style="0" customWidth="1"/>
    <col min="21" max="21" width="7.00390625" style="0" customWidth="1"/>
    <col min="22" max="22" width="6.57421875" style="0" customWidth="1"/>
    <col min="23" max="23" width="8.421875" style="0" bestFit="1" customWidth="1"/>
    <col min="24" max="24" width="7.28125" style="0" customWidth="1"/>
    <col min="25" max="25" width="9.00390625" style="2" customWidth="1"/>
    <col min="26" max="26" width="10.00390625" style="2" customWidth="1"/>
    <col min="27" max="27" width="10.8515625" style="41" customWidth="1"/>
    <col min="28" max="28" width="10.140625" style="41" customWidth="1"/>
    <col min="29" max="30" width="11.00390625" style="0" customWidth="1"/>
    <col min="31" max="31" width="18.00390625" style="41" hidden="1" customWidth="1"/>
    <col min="32" max="32" width="17.140625" style="41" hidden="1" customWidth="1"/>
    <col min="33" max="33" width="1.1484375" style="41" hidden="1" customWidth="1"/>
    <col min="34" max="34" width="13.57421875" style="0" bestFit="1" customWidth="1"/>
    <col min="35" max="35" width="10.00390625" style="0" bestFit="1" customWidth="1"/>
  </cols>
  <sheetData>
    <row r="1" ht="15">
      <c r="AC1" s="14" t="s">
        <v>111</v>
      </c>
    </row>
    <row r="2" spans="2:8" ht="14.25">
      <c r="B2" s="2" t="s">
        <v>189</v>
      </c>
      <c r="C2" s="2"/>
      <c r="D2" s="2"/>
      <c r="E2" s="2"/>
      <c r="G2" s="2" t="s">
        <v>250</v>
      </c>
      <c r="H2" s="2"/>
    </row>
    <row r="4" spans="2:33" ht="15">
      <c r="B4" s="26" t="s">
        <v>223</v>
      </c>
      <c r="T4" s="72"/>
      <c r="U4" s="72"/>
      <c r="AA4" s="39"/>
      <c r="AB4" s="39"/>
      <c r="AE4" s="39"/>
      <c r="AF4" s="39"/>
      <c r="AG4" s="39"/>
    </row>
    <row r="5" spans="3:33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AA5" s="39" t="s">
        <v>103</v>
      </c>
      <c r="AB5" s="39"/>
      <c r="AE5" s="39"/>
      <c r="AF5" s="39"/>
      <c r="AG5" s="39"/>
    </row>
    <row r="6" spans="1:33" ht="35.25" customHeight="1">
      <c r="A6" s="470" t="s">
        <v>62</v>
      </c>
      <c r="B6" s="470" t="s">
        <v>63</v>
      </c>
      <c r="C6" s="474" t="s">
        <v>155</v>
      </c>
      <c r="D6" s="475"/>
      <c r="E6" s="476"/>
      <c r="F6" s="166"/>
      <c r="G6" s="468" t="s">
        <v>104</v>
      </c>
      <c r="H6" s="166"/>
      <c r="I6" s="166"/>
      <c r="J6" s="166"/>
      <c r="K6" s="166"/>
      <c r="L6" s="167"/>
      <c r="M6" s="166"/>
      <c r="N6" s="166"/>
      <c r="O6" s="166"/>
      <c r="P6" s="166"/>
      <c r="Q6" s="178"/>
      <c r="R6" s="178"/>
      <c r="S6" s="468" t="s">
        <v>69</v>
      </c>
      <c r="T6" s="470" t="s">
        <v>70</v>
      </c>
      <c r="U6" s="470" t="s">
        <v>128</v>
      </c>
      <c r="V6" s="470"/>
      <c r="W6" s="470"/>
      <c r="X6" s="470" t="s">
        <v>128</v>
      </c>
      <c r="Y6" s="470"/>
      <c r="Z6" s="464" t="s">
        <v>129</v>
      </c>
      <c r="AA6" s="466" t="s">
        <v>102</v>
      </c>
      <c r="AB6" s="471" t="s">
        <v>236</v>
      </c>
      <c r="AC6" s="472"/>
      <c r="AD6" s="473"/>
      <c r="AE6" s="461" t="s">
        <v>86</v>
      </c>
      <c r="AF6" s="462"/>
      <c r="AG6" s="463"/>
    </row>
    <row r="7" spans="1:33" ht="30" customHeight="1">
      <c r="A7" s="470"/>
      <c r="B7" s="470"/>
      <c r="C7" s="49" t="s">
        <v>87</v>
      </c>
      <c r="D7" s="49" t="s">
        <v>88</v>
      </c>
      <c r="E7" s="49" t="s">
        <v>89</v>
      </c>
      <c r="F7" s="49" t="s">
        <v>2</v>
      </c>
      <c r="G7" s="469"/>
      <c r="H7" s="49" t="s">
        <v>3</v>
      </c>
      <c r="I7" s="49" t="s">
        <v>65</v>
      </c>
      <c r="J7" s="49" t="s">
        <v>145</v>
      </c>
      <c r="K7" s="49" t="s">
        <v>66</v>
      </c>
      <c r="L7" s="49" t="s">
        <v>67</v>
      </c>
      <c r="M7" s="49" t="s">
        <v>68</v>
      </c>
      <c r="N7" s="49" t="s">
        <v>5</v>
      </c>
      <c r="O7" s="49" t="s">
        <v>76</v>
      </c>
      <c r="P7" s="49" t="s">
        <v>72</v>
      </c>
      <c r="Q7" s="165" t="s">
        <v>134</v>
      </c>
      <c r="R7" s="165" t="s">
        <v>146</v>
      </c>
      <c r="S7" s="469"/>
      <c r="T7" s="470"/>
      <c r="U7" s="164" t="s">
        <v>90</v>
      </c>
      <c r="V7" s="164" t="s">
        <v>91</v>
      </c>
      <c r="W7" s="164" t="s">
        <v>92</v>
      </c>
      <c r="X7" s="49" t="s">
        <v>105</v>
      </c>
      <c r="Y7" s="47" t="s">
        <v>93</v>
      </c>
      <c r="Z7" s="465"/>
      <c r="AA7" s="467"/>
      <c r="AB7" s="51" t="s">
        <v>47</v>
      </c>
      <c r="AC7" s="51" t="s">
        <v>87</v>
      </c>
      <c r="AD7" s="51" t="s">
        <v>88</v>
      </c>
      <c r="AE7" s="40" t="s">
        <v>87</v>
      </c>
      <c r="AF7" s="40" t="s">
        <v>88</v>
      </c>
      <c r="AG7" s="40" t="s">
        <v>47</v>
      </c>
    </row>
    <row r="8" spans="1:33" ht="18.75" customHeight="1">
      <c r="A8" s="5">
        <v>1</v>
      </c>
      <c r="B8" s="6" t="s">
        <v>21</v>
      </c>
      <c r="C8" s="60">
        <f>'Anne-8'!R9+'Anne-7'!Q9+'Anne-7'!T9+'Anne-6'!AC9</f>
        <v>136033</v>
      </c>
      <c r="D8" s="60">
        <f>'Anne-8'!S9+'Anne-7'!R9+'Anne-7'!U9+'Anne-6'!AD9</f>
        <v>98376</v>
      </c>
      <c r="E8" s="58">
        <f>C8+D8</f>
        <v>234409</v>
      </c>
      <c r="F8" s="58"/>
      <c r="G8" s="370" t="s">
        <v>191</v>
      </c>
      <c r="H8" s="370" t="s">
        <v>191</v>
      </c>
      <c r="I8" s="370" t="s">
        <v>191</v>
      </c>
      <c r="J8" s="370" t="s">
        <v>191</v>
      </c>
      <c r="K8" s="370" t="s">
        <v>191</v>
      </c>
      <c r="L8" s="370" t="s">
        <v>191</v>
      </c>
      <c r="M8" s="370" t="s">
        <v>191</v>
      </c>
      <c r="N8" s="370" t="s">
        <v>191</v>
      </c>
      <c r="O8" s="370" t="s">
        <v>191</v>
      </c>
      <c r="P8" s="370" t="s">
        <v>191</v>
      </c>
      <c r="Q8" s="370" t="s">
        <v>191</v>
      </c>
      <c r="R8" s="370" t="s">
        <v>191</v>
      </c>
      <c r="S8" s="370" t="s">
        <v>191</v>
      </c>
      <c r="T8" s="370" t="s">
        <v>191</v>
      </c>
      <c r="U8" s="151">
        <f aca="true" t="shared" si="0" ref="U8:U31">C8/(AC8*1000)*100</f>
        <v>73.873577442675</v>
      </c>
      <c r="V8" s="151">
        <f aca="true" t="shared" si="1" ref="V8:V31">D8/(AD8*1000)*100</f>
        <v>32.768092065250706</v>
      </c>
      <c r="W8" s="151">
        <f aca="true" t="shared" si="2" ref="W8:W34">E8/(AB8*1000)*100</f>
        <v>48.39542961955096</v>
      </c>
      <c r="X8" s="151"/>
      <c r="Y8" s="151"/>
      <c r="Z8" s="152"/>
      <c r="AA8" s="58"/>
      <c r="AB8" s="58">
        <f aca="true" t="shared" si="3" ref="AB8:AB33">AC8+AD8</f>
        <v>484.3618536765765</v>
      </c>
      <c r="AC8" s="58">
        <f>'Anne-4'!Z8</f>
        <v>184.1429706115965</v>
      </c>
      <c r="AD8" s="58">
        <f>'Anne-4'!AA8</f>
        <v>300.21888306498</v>
      </c>
      <c r="AE8" s="58">
        <v>116406.79106989368</v>
      </c>
      <c r="AF8" s="58">
        <v>239858.20645933464</v>
      </c>
      <c r="AG8" s="58">
        <f aca="true" t="shared" si="4" ref="AG8:AG33">SUM(AE8:AF8)</f>
        <v>356264.99752922833</v>
      </c>
    </row>
    <row r="9" spans="1:33" ht="14.25">
      <c r="A9" s="5">
        <v>2</v>
      </c>
      <c r="B9" s="6" t="s">
        <v>22</v>
      </c>
      <c r="C9" s="60">
        <f>'Anne-8'!R10+'Anne-7'!Q10+'Anne-7'!T10+'Anne-6'!AC10</f>
        <v>5483274</v>
      </c>
      <c r="D9" s="60">
        <f>'Anne-8'!S10+'Anne-7'!R10+'Anne-7'!U10+'Anne-6'!AD10</f>
        <v>5768051</v>
      </c>
      <c r="E9" s="58">
        <f aca="true" t="shared" si="5" ref="E9:E33">C9+D9</f>
        <v>11251325</v>
      </c>
      <c r="F9" s="58"/>
      <c r="G9" s="58">
        <f>E9</f>
        <v>11251325</v>
      </c>
      <c r="H9" s="58">
        <f>'Anne-6'!G10+'Anne-8'!H10</f>
        <v>18647634</v>
      </c>
      <c r="I9" s="58">
        <f>'Anne-6'!S10+'Anne-7'!I10+'Anne-8'!I10</f>
        <v>7097060</v>
      </c>
      <c r="J9" s="58">
        <f>'Anne-6'!I10+'Anne-8'!M10</f>
        <v>5878530</v>
      </c>
      <c r="K9" s="58">
        <f>'Anne-7'!J10+'Anne-8'!J10</f>
        <v>6582055</v>
      </c>
      <c r="L9" s="58">
        <f>'Anne-6'!N10</f>
        <v>11569388</v>
      </c>
      <c r="M9" s="58">
        <f>'Anne-6'!K10</f>
        <v>1798359</v>
      </c>
      <c r="N9" s="217">
        <f>'Anne-6'!X10</f>
        <v>0</v>
      </c>
      <c r="O9" s="58"/>
      <c r="P9" s="58">
        <f>'Anne-7'!L10+'Anne-8'!L10</f>
        <v>0</v>
      </c>
      <c r="Q9" s="58">
        <f>'Anne-4'!O9</f>
        <v>4450683</v>
      </c>
      <c r="R9" s="58">
        <f>'Anne-6'!W10</f>
        <v>0</v>
      </c>
      <c r="S9" s="58">
        <f aca="true" t="shared" si="6" ref="S9:S37">H9+I9+K9+J9+L9+M9+N9+O9+P9+Q9+R9</f>
        <v>56023709</v>
      </c>
      <c r="T9" s="58">
        <f aca="true" t="shared" si="7" ref="T9:T33">G9+S9</f>
        <v>67275034</v>
      </c>
      <c r="U9" s="151">
        <f t="shared" si="0"/>
        <v>22.872706795144538</v>
      </c>
      <c r="V9" s="151">
        <f t="shared" si="1"/>
        <v>9.229324607581164</v>
      </c>
      <c r="W9" s="151">
        <f t="shared" si="2"/>
        <v>13.01182491037354</v>
      </c>
      <c r="X9" s="151">
        <f>G9/(AA9*1000)*100</f>
        <v>13.01182491037354</v>
      </c>
      <c r="Y9" s="151">
        <f>T9/(AA9*1000)*100</f>
        <v>77.8015889904013</v>
      </c>
      <c r="Z9" s="152">
        <f>G9/T9*100</f>
        <v>16.724369102511343</v>
      </c>
      <c r="AA9" s="58">
        <f>AB9</f>
        <v>86470</v>
      </c>
      <c r="AB9" s="58">
        <f t="shared" si="3"/>
        <v>86470</v>
      </c>
      <c r="AC9" s="58">
        <f>'Anne-4'!Z9</f>
        <v>23973</v>
      </c>
      <c r="AD9" s="58">
        <f>'Anne-4'!AA9</f>
        <v>62497</v>
      </c>
      <c r="AE9" s="58">
        <v>20503596.770689454</v>
      </c>
      <c r="AF9" s="58">
        <v>55223944.34664992</v>
      </c>
      <c r="AG9" s="58">
        <f t="shared" si="4"/>
        <v>75727541.11733937</v>
      </c>
    </row>
    <row r="10" spans="1:33" ht="14.25">
      <c r="A10" s="5">
        <v>3</v>
      </c>
      <c r="B10" s="6" t="s">
        <v>23</v>
      </c>
      <c r="C10" s="60">
        <f>'Anne-8'!R11+'Anne-7'!Q11+'Anne-7'!T11+'Anne-6'!AC11</f>
        <v>972436</v>
      </c>
      <c r="D10" s="60">
        <f>'Anne-8'!S11+'Anne-7'!R11+'Anne-7'!U11+'Anne-6'!AD11</f>
        <v>444061</v>
      </c>
      <c r="E10" s="58">
        <f t="shared" si="5"/>
        <v>1416497</v>
      </c>
      <c r="F10" s="58"/>
      <c r="G10" s="58">
        <f>E10</f>
        <v>1416497</v>
      </c>
      <c r="H10" s="58">
        <f>'Anne-6'!G11+'Anne-8'!H11</f>
        <v>4101733</v>
      </c>
      <c r="I10" s="58">
        <f>'Anne-6'!S11+'Anne-7'!I11+'Anne-8'!I11</f>
        <v>2921103</v>
      </c>
      <c r="J10" s="58">
        <f>'Anne-6'!I11+'Anne-8'!M11</f>
        <v>2506703</v>
      </c>
      <c r="K10" s="58">
        <f>'Anne-7'!J11+'Anne-8'!J11</f>
        <v>0</v>
      </c>
      <c r="L10" s="58">
        <f>'Anne-6'!N11</f>
        <v>440032</v>
      </c>
      <c r="M10" s="58">
        <f>'Anne-6'!K11</f>
        <v>3547608</v>
      </c>
      <c r="N10" s="217">
        <f>'Anne-6'!X11</f>
        <v>0</v>
      </c>
      <c r="O10" s="58"/>
      <c r="P10" s="58">
        <f>'Anne-7'!L11+'Anne-8'!L11</f>
        <v>0</v>
      </c>
      <c r="Q10" s="58">
        <f>'Anne-4'!O10</f>
        <v>0</v>
      </c>
      <c r="R10" s="58">
        <f>'Anne-6'!W11</f>
        <v>0</v>
      </c>
      <c r="S10" s="58">
        <f t="shared" si="6"/>
        <v>13517179</v>
      </c>
      <c r="T10" s="58">
        <f t="shared" si="7"/>
        <v>14933676</v>
      </c>
      <c r="U10" s="151">
        <f t="shared" si="0"/>
        <v>20.166652841144753</v>
      </c>
      <c r="V10" s="151">
        <f t="shared" si="1"/>
        <v>1.6680435735303323</v>
      </c>
      <c r="W10" s="151">
        <f t="shared" si="2"/>
        <v>4.504872205319566</v>
      </c>
      <c r="X10" s="151">
        <f>G10/(AA10*1000)*100</f>
        <v>4.504872205319566</v>
      </c>
      <c r="Y10" s="151">
        <f aca="true" t="shared" si="8" ref="Y10:Y37">T10/(AA10*1000)*100</f>
        <v>47.49343057955496</v>
      </c>
      <c r="Z10" s="152">
        <f>G10/T10*100</f>
        <v>9.485253329454851</v>
      </c>
      <c r="AA10" s="58">
        <f>AB10</f>
        <v>31443.66666666667</v>
      </c>
      <c r="AB10" s="58">
        <f t="shared" si="3"/>
        <v>31443.66666666667</v>
      </c>
      <c r="AC10" s="58">
        <f>'Anne-4'!Z10</f>
        <v>4822</v>
      </c>
      <c r="AD10" s="58">
        <f>'Anne-4'!AA10</f>
        <v>26621.66666666667</v>
      </c>
      <c r="AE10" s="58">
        <v>3389412.621950967</v>
      </c>
      <c r="AF10" s="58">
        <v>23248993.858922884</v>
      </c>
      <c r="AG10" s="58">
        <f t="shared" si="4"/>
        <v>26638406.48087385</v>
      </c>
    </row>
    <row r="11" spans="1:33" ht="14.25">
      <c r="A11" s="5">
        <v>4</v>
      </c>
      <c r="B11" s="6" t="s">
        <v>24</v>
      </c>
      <c r="C11" s="60">
        <f>'Anne-8'!R12+'Anne-7'!Q12+'Anne-7'!T12+'Anne-6'!AC12</f>
        <v>1415944</v>
      </c>
      <c r="D11" s="60">
        <f>'Anne-8'!S12+'Anne-7'!R12+'Anne-7'!U12+'Anne-6'!AD12</f>
        <v>989556</v>
      </c>
      <c r="E11" s="58">
        <f t="shared" si="5"/>
        <v>2405500</v>
      </c>
      <c r="F11" s="58"/>
      <c r="G11" s="58">
        <f>E11+E17</f>
        <v>4196515</v>
      </c>
      <c r="H11" s="58">
        <f>'Anne-6'!G12+'Anne-8'!H12</f>
        <v>20275101</v>
      </c>
      <c r="I11" s="58">
        <f>'Anne-6'!S12+'Anne-7'!I12+'Anne-8'!I12</f>
        <v>10001588</v>
      </c>
      <c r="J11" s="58">
        <f>'Anne-6'!I12+'Anne-8'!M12</f>
        <v>6910472</v>
      </c>
      <c r="K11" s="58">
        <f>'Anne-7'!J12+'Anne-8'!J12</f>
        <v>3515476</v>
      </c>
      <c r="L11" s="58">
        <f>'Anne-6'!N12</f>
        <v>6275862</v>
      </c>
      <c r="M11" s="58">
        <f>'Anne-6'!K12</f>
        <v>4711600</v>
      </c>
      <c r="N11" s="217">
        <f>'Anne-6'!X12</f>
        <v>0</v>
      </c>
      <c r="O11" s="58"/>
      <c r="P11" s="58">
        <f>'Anne-7'!L12+'Anne-8'!L12</f>
        <v>0</v>
      </c>
      <c r="Q11" s="58">
        <f>'Anne-4'!O11</f>
        <v>4517009</v>
      </c>
      <c r="R11" s="58">
        <f>'Anne-6'!W12</f>
        <v>0</v>
      </c>
      <c r="S11" s="58">
        <f t="shared" si="6"/>
        <v>56207108</v>
      </c>
      <c r="T11" s="58">
        <f t="shared" si="7"/>
        <v>60403623</v>
      </c>
      <c r="U11" s="151">
        <f t="shared" si="0"/>
        <v>13.278304540640123</v>
      </c>
      <c r="V11" s="151">
        <f t="shared" si="1"/>
        <v>1.0990134948023185</v>
      </c>
      <c r="W11" s="151">
        <f t="shared" si="2"/>
        <v>2.3886842129541046</v>
      </c>
      <c r="X11" s="151">
        <f>G11/(AA11*1000)*100</f>
        <v>3.1510256846657883</v>
      </c>
      <c r="Y11" s="151">
        <f t="shared" si="8"/>
        <v>45.355102393264204</v>
      </c>
      <c r="Z11" s="152">
        <f>G11/T11*100</f>
        <v>6.94745578423334</v>
      </c>
      <c r="AA11" s="58">
        <f>AB11+AB17</f>
        <v>133179.33333333337</v>
      </c>
      <c r="AB11" s="58">
        <f t="shared" si="3"/>
        <v>100703.97698258738</v>
      </c>
      <c r="AC11" s="58">
        <f>'Anne-4'!Z11</f>
        <v>10663.590337654206</v>
      </c>
      <c r="AD11" s="58">
        <f>'Anne-4'!AA11</f>
        <v>90040.38664493317</v>
      </c>
      <c r="AE11" s="58">
        <v>8679199.657414034</v>
      </c>
      <c r="AF11" s="58">
        <v>74199595.5407804</v>
      </c>
      <c r="AG11" s="58">
        <f t="shared" si="4"/>
        <v>82878795.19819443</v>
      </c>
    </row>
    <row r="12" spans="1:33" ht="14.25">
      <c r="A12" s="5">
        <v>5</v>
      </c>
      <c r="B12" s="6" t="s">
        <v>25</v>
      </c>
      <c r="C12" s="60">
        <f>'Anne-8'!R13+'Anne-7'!Q13+'Anne-7'!T13+'Anne-6'!AC13</f>
        <v>1235824</v>
      </c>
      <c r="D12" s="60">
        <f>'Anne-8'!S13+'Anne-7'!R13+'Anne-7'!U13+'Anne-6'!AD13</f>
        <v>662566</v>
      </c>
      <c r="E12" s="58">
        <f t="shared" si="5"/>
        <v>1898390</v>
      </c>
      <c r="F12" s="58"/>
      <c r="G12" s="370" t="s">
        <v>191</v>
      </c>
      <c r="H12" s="370" t="s">
        <v>191</v>
      </c>
      <c r="I12" s="370" t="s">
        <v>191</v>
      </c>
      <c r="J12" s="370" t="s">
        <v>191</v>
      </c>
      <c r="K12" s="370" t="s">
        <v>191</v>
      </c>
      <c r="L12" s="370" t="s">
        <v>191</v>
      </c>
      <c r="M12" s="370" t="s">
        <v>191</v>
      </c>
      <c r="N12" s="370" t="s">
        <v>191</v>
      </c>
      <c r="O12" s="370" t="s">
        <v>191</v>
      </c>
      <c r="P12" s="370" t="s">
        <v>191</v>
      </c>
      <c r="Q12" s="370" t="s">
        <v>191</v>
      </c>
      <c r="R12" s="370" t="s">
        <v>191</v>
      </c>
      <c r="S12" s="370" t="s">
        <v>191</v>
      </c>
      <c r="T12" s="370" t="s">
        <v>191</v>
      </c>
      <c r="U12" s="151">
        <f t="shared" si="0"/>
        <v>21.211736441138733</v>
      </c>
      <c r="V12" s="151">
        <f t="shared" si="1"/>
        <v>3.4245771033461243</v>
      </c>
      <c r="W12" s="151">
        <f t="shared" si="2"/>
        <v>7.541219502666757</v>
      </c>
      <c r="X12" s="151"/>
      <c r="Y12" s="151"/>
      <c r="Z12" s="152"/>
      <c r="AA12" s="58"/>
      <c r="AB12" s="58">
        <f t="shared" si="3"/>
        <v>25173.51469916349</v>
      </c>
      <c r="AC12" s="58">
        <f>'Anne-4'!Z12</f>
        <v>5826.133109985294</v>
      </c>
      <c r="AD12" s="58">
        <f>'Anne-4'!AA12</f>
        <v>19347.381589178196</v>
      </c>
      <c r="AE12" s="58">
        <v>4175328.943641984</v>
      </c>
      <c r="AF12" s="58">
        <v>16620627.447467273</v>
      </c>
      <c r="AG12" s="58">
        <f t="shared" si="4"/>
        <v>20795956.391109258</v>
      </c>
    </row>
    <row r="13" spans="1:33" ht="14.25">
      <c r="A13" s="5">
        <v>6</v>
      </c>
      <c r="B13" s="6" t="s">
        <v>26</v>
      </c>
      <c r="C13" s="60">
        <f>'Anne-8'!R14+'Anne-7'!Q14+'Anne-7'!T14+'Anne-6'!AC14</f>
        <v>3943378</v>
      </c>
      <c r="D13" s="60">
        <f>'Anne-8'!S14+'Anne-7'!R14+'Anne-7'!U14+'Anne-6'!AD14</f>
        <v>1889501</v>
      </c>
      <c r="E13" s="58">
        <f t="shared" si="5"/>
        <v>5832879</v>
      </c>
      <c r="F13" s="58"/>
      <c r="G13" s="58">
        <f>E13</f>
        <v>5832879</v>
      </c>
      <c r="H13" s="58">
        <f>'Anne-6'!G14+'Anne-8'!H14</f>
        <v>7113430</v>
      </c>
      <c r="I13" s="58">
        <f>'Anne-6'!S14+'Anne-7'!I14+'Anne-8'!I14</f>
        <v>7291936</v>
      </c>
      <c r="J13" s="58">
        <f>'Anne-6'!I14+'Anne-8'!M14</f>
        <v>16286025</v>
      </c>
      <c r="K13" s="58">
        <f>'Anne-7'!J14+'Anne-8'!J14</f>
        <v>2692836</v>
      </c>
      <c r="L13" s="58">
        <f>'Anne-6'!N14</f>
        <v>8466824</v>
      </c>
      <c r="M13" s="58">
        <f>'Anne-6'!K14</f>
        <v>35773</v>
      </c>
      <c r="N13" s="217">
        <f>'Anne-6'!X14</f>
        <v>0</v>
      </c>
      <c r="O13" s="58"/>
      <c r="P13" s="58">
        <f>'Anne-7'!L14+'Anne-8'!L14</f>
        <v>200654</v>
      </c>
      <c r="Q13" s="58">
        <f>'Anne-4'!O13</f>
        <v>5084389</v>
      </c>
      <c r="R13" s="58">
        <f>'Anne-6'!W14</f>
        <v>702642</v>
      </c>
      <c r="S13" s="58">
        <f t="shared" si="6"/>
        <v>47874509</v>
      </c>
      <c r="T13" s="58">
        <f t="shared" si="7"/>
        <v>53707388</v>
      </c>
      <c r="U13" s="151">
        <f t="shared" si="0"/>
        <v>15.619606807589223</v>
      </c>
      <c r="V13" s="151">
        <f t="shared" si="1"/>
        <v>5.2102605818282095</v>
      </c>
      <c r="W13" s="151">
        <f t="shared" si="2"/>
        <v>9.482608624968842</v>
      </c>
      <c r="X13" s="151">
        <f>G13/(AA13*1000)*100</f>
        <v>9.482608624968842</v>
      </c>
      <c r="Y13" s="151">
        <f t="shared" si="8"/>
        <v>87.31299597906079</v>
      </c>
      <c r="Z13" s="152">
        <f>G13/T13*100</f>
        <v>10.860477891793956</v>
      </c>
      <c r="AA13" s="58">
        <f>AB13</f>
        <v>61511.33333333333</v>
      </c>
      <c r="AB13" s="58">
        <f t="shared" si="3"/>
        <v>61511.33333333333</v>
      </c>
      <c r="AC13" s="58">
        <f>'Anne-4'!Z13</f>
        <v>25246.33333333333</v>
      </c>
      <c r="AD13" s="58">
        <f>'Anne-4'!AA13</f>
        <v>36265</v>
      </c>
      <c r="AE13" s="58">
        <v>19007152.295442946</v>
      </c>
      <c r="AF13" s="58">
        <v>31968350.23018353</v>
      </c>
      <c r="AG13" s="58">
        <f t="shared" si="4"/>
        <v>50975502.52562648</v>
      </c>
    </row>
    <row r="14" spans="1:33" ht="14.25">
      <c r="A14" s="5">
        <v>7</v>
      </c>
      <c r="B14" s="6" t="s">
        <v>27</v>
      </c>
      <c r="C14" s="60">
        <f>'Anne-8'!R15+'Anne-7'!Q15+'Anne-7'!T15+'Anne-6'!AC15</f>
        <v>1761552</v>
      </c>
      <c r="D14" s="60">
        <f>'Anne-8'!S15+'Anne-7'!R15+'Anne-7'!U15+'Anne-6'!AD15</f>
        <v>1806242</v>
      </c>
      <c r="E14" s="58">
        <f t="shared" si="5"/>
        <v>3567794</v>
      </c>
      <c r="F14" s="58"/>
      <c r="G14" s="58">
        <f>E14</f>
        <v>3567794</v>
      </c>
      <c r="H14" s="58">
        <f>'Anne-6'!G15+'Anne-8'!H15</f>
        <v>2338181</v>
      </c>
      <c r="I14" s="58">
        <f>'Anne-6'!S15+'Anne-7'!I15+'Anne-8'!I15</f>
        <v>2445915</v>
      </c>
      <c r="J14" s="58">
        <f>'Anne-6'!I15+'Anne-8'!M15</f>
        <v>4697689</v>
      </c>
      <c r="K14" s="58">
        <f>'Anne-7'!J15+'Anne-8'!J15</f>
        <v>2693565</v>
      </c>
      <c r="L14" s="58">
        <f>'Anne-6'!N15</f>
        <v>3846587</v>
      </c>
      <c r="M14" s="58">
        <f>'Anne-6'!K15</f>
        <v>11092</v>
      </c>
      <c r="N14" s="217">
        <f>'Anne-6'!X15</f>
        <v>0</v>
      </c>
      <c r="O14" s="58"/>
      <c r="P14" s="58">
        <f>'Anne-7'!L15+'Anne-8'!L15</f>
        <v>0</v>
      </c>
      <c r="Q14" s="58">
        <f>'Anne-4'!O14</f>
        <v>0</v>
      </c>
      <c r="R14" s="58">
        <f>'Anne-6'!W15</f>
        <v>852520</v>
      </c>
      <c r="S14" s="58">
        <f t="shared" si="6"/>
        <v>16885549</v>
      </c>
      <c r="T14" s="58">
        <f t="shared" si="7"/>
        <v>20453343</v>
      </c>
      <c r="U14" s="151">
        <f t="shared" si="0"/>
        <v>19.177877776164895</v>
      </c>
      <c r="V14" s="151">
        <f t="shared" si="1"/>
        <v>10.491037927629668</v>
      </c>
      <c r="W14" s="151">
        <f t="shared" si="2"/>
        <v>13.513176865681062</v>
      </c>
      <c r="X14" s="151">
        <f>G14/(AA14*1000)*100</f>
        <v>13.513176865681062</v>
      </c>
      <c r="Y14" s="151">
        <f t="shared" si="8"/>
        <v>77.46793717726968</v>
      </c>
      <c r="Z14" s="152">
        <f>G14/T14*100</f>
        <v>17.443573894008427</v>
      </c>
      <c r="AA14" s="58">
        <f>AB14</f>
        <v>26402.333333333336</v>
      </c>
      <c r="AB14" s="58">
        <f t="shared" si="3"/>
        <v>26402.333333333336</v>
      </c>
      <c r="AC14" s="58">
        <f>'Anne-4'!Z14</f>
        <v>9185.333333333336</v>
      </c>
      <c r="AD14" s="58">
        <f>'Anne-4'!AA14</f>
        <v>17217</v>
      </c>
      <c r="AE14" s="58">
        <v>6114139.1012478005</v>
      </c>
      <c r="AF14" s="58">
        <v>14968849.58738658</v>
      </c>
      <c r="AG14" s="58">
        <f t="shared" si="4"/>
        <v>21082988.68863438</v>
      </c>
    </row>
    <row r="15" spans="1:33" s="379" customFormat="1" ht="14.25">
      <c r="A15" s="374">
        <v>8</v>
      </c>
      <c r="B15" s="375" t="s">
        <v>28</v>
      </c>
      <c r="C15" s="86">
        <f>'Anne-8'!R16+'Anne-7'!Q16+'Anne-7'!T16+'Anne-6'!AC16</f>
        <v>650372</v>
      </c>
      <c r="D15" s="86">
        <f>'Anne-8'!S16+'Anne-7'!R16+'Anne-7'!U16+'Anne-6'!AD16</f>
        <v>1156204</v>
      </c>
      <c r="E15" s="86">
        <f t="shared" si="5"/>
        <v>1806576</v>
      </c>
      <c r="F15" s="86"/>
      <c r="G15" s="86">
        <f>E15</f>
        <v>1806576</v>
      </c>
      <c r="H15" s="86">
        <f>'Anne-6'!G16+'Anne-8'!H16</f>
        <v>2035958</v>
      </c>
      <c r="I15" s="86">
        <f>'Anne-6'!S16+'Anne-7'!I16+'Anne-8'!I16</f>
        <v>1572732</v>
      </c>
      <c r="J15" s="58">
        <f>'Anne-6'!I16+'Anne-8'!M16</f>
        <v>523069</v>
      </c>
      <c r="K15" s="86">
        <f>'Anne-7'!J16+'Anne-8'!J16</f>
        <v>169355</v>
      </c>
      <c r="L15" s="86">
        <f>'Anne-6'!N16</f>
        <v>492266</v>
      </c>
      <c r="M15" s="86">
        <f>'Anne-6'!K16</f>
        <v>682129</v>
      </c>
      <c r="N15" s="376">
        <f>'Anne-6'!X16</f>
        <v>0</v>
      </c>
      <c r="O15" s="86"/>
      <c r="P15" s="86">
        <f>'Anne-7'!L16+'Anne-8'!L16</f>
        <v>0</v>
      </c>
      <c r="Q15" s="86">
        <f>'Anne-4'!O15</f>
        <v>0</v>
      </c>
      <c r="R15" s="86">
        <f>'Anne-6'!W16</f>
        <v>0</v>
      </c>
      <c r="S15" s="86">
        <f t="shared" si="6"/>
        <v>5475509</v>
      </c>
      <c r="T15" s="86">
        <f t="shared" si="7"/>
        <v>7282085</v>
      </c>
      <c r="U15" s="377">
        <f t="shared" si="0"/>
        <v>82.56944561997463</v>
      </c>
      <c r="V15" s="377">
        <f t="shared" si="1"/>
        <v>18.799046122161403</v>
      </c>
      <c r="W15" s="377">
        <f t="shared" si="2"/>
        <v>26.038858460651493</v>
      </c>
      <c r="X15" s="377">
        <f>G15/(AA15*1000)*100</f>
        <v>26.038858460651493</v>
      </c>
      <c r="Y15" s="377">
        <f t="shared" si="8"/>
        <v>104.95942634765065</v>
      </c>
      <c r="Z15" s="378">
        <f>G15/T15*100</f>
        <v>24.80849921416737</v>
      </c>
      <c r="AA15" s="86">
        <f>AB15</f>
        <v>6937.999999999998</v>
      </c>
      <c r="AB15" s="86">
        <f t="shared" si="3"/>
        <v>6937.999999999998</v>
      </c>
      <c r="AC15" s="86">
        <f>'Anne-4'!Z15</f>
        <v>787.6666666666665</v>
      </c>
      <c r="AD15" s="86">
        <f>'Anne-4'!AA15</f>
        <v>6150.333333333332</v>
      </c>
      <c r="AE15" s="86">
        <v>594880.8567659298</v>
      </c>
      <c r="AF15" s="86">
        <v>5482366.869364679</v>
      </c>
      <c r="AG15" s="86">
        <f t="shared" si="4"/>
        <v>6077247.7261306085</v>
      </c>
    </row>
    <row r="16" spans="1:33" ht="14.25">
      <c r="A16" s="5">
        <v>9</v>
      </c>
      <c r="B16" s="6" t="s">
        <v>29</v>
      </c>
      <c r="C16" s="60">
        <f>'Anne-8'!R17+'Anne-7'!Q17+'Anne-7'!T17+'Anne-6'!AC17</f>
        <v>1223774</v>
      </c>
      <c r="D16" s="60">
        <f>'Anne-8'!S17+'Anne-7'!R17+'Anne-7'!U17+'Anne-6'!AD17</f>
        <v>168203</v>
      </c>
      <c r="E16" s="58">
        <f t="shared" si="5"/>
        <v>1391977</v>
      </c>
      <c r="F16" s="58"/>
      <c r="G16" s="58">
        <f>E16</f>
        <v>1391977</v>
      </c>
      <c r="H16" s="58">
        <f>'Anne-6'!G17+'Anne-8'!H17</f>
        <v>2473706</v>
      </c>
      <c r="I16" s="58">
        <f>'Anne-6'!S17+'Anne-7'!I17+'Anne-8'!I17</f>
        <v>645919</v>
      </c>
      <c r="J16" s="58">
        <f>'Anne-6'!I17+'Anne-8'!M17</f>
        <v>660662</v>
      </c>
      <c r="K16" s="58">
        <f>'Anne-7'!J17+'Anne-8'!J17</f>
        <v>0</v>
      </c>
      <c r="L16" s="58">
        <f>'Anne-6'!N17</f>
        <v>249095</v>
      </c>
      <c r="M16" s="58">
        <f>'Anne-6'!K17</f>
        <v>1922242</v>
      </c>
      <c r="N16" s="217">
        <f>'Anne-6'!X17</f>
        <v>0</v>
      </c>
      <c r="O16" s="58"/>
      <c r="P16" s="58">
        <f>'Anne-7'!L17+'Anne-8'!L17</f>
        <v>0</v>
      </c>
      <c r="Q16" s="58">
        <f>'Anne-4'!O16</f>
        <v>0</v>
      </c>
      <c r="R16" s="58">
        <f>'Anne-6'!W17</f>
        <v>0</v>
      </c>
      <c r="S16" s="58">
        <f t="shared" si="6"/>
        <v>5951624</v>
      </c>
      <c r="T16" s="58">
        <f t="shared" si="7"/>
        <v>7343601</v>
      </c>
      <c r="U16" s="151">
        <f t="shared" si="0"/>
        <v>37.17041611825452</v>
      </c>
      <c r="V16" s="151">
        <f t="shared" si="1"/>
        <v>1.919030233884769</v>
      </c>
      <c r="W16" s="151">
        <f t="shared" si="2"/>
        <v>11.544650558442994</v>
      </c>
      <c r="X16" s="151">
        <f>G16/(AA16*1000)*100</f>
        <v>11.544650558442994</v>
      </c>
      <c r="Y16" s="151">
        <f t="shared" si="8"/>
        <v>60.90568118987062</v>
      </c>
      <c r="Z16" s="152">
        <f>G16/T16*100</f>
        <v>18.954965009673046</v>
      </c>
      <c r="AA16" s="58">
        <f>AB16</f>
        <v>12057.333333333334</v>
      </c>
      <c r="AB16" s="58">
        <f t="shared" si="3"/>
        <v>12057.333333333334</v>
      </c>
      <c r="AC16" s="58">
        <f>'Anne-4'!Z16</f>
        <v>3292.333333333334</v>
      </c>
      <c r="AD16" s="58">
        <f>'Anne-4'!AA16</f>
        <v>8765</v>
      </c>
      <c r="AE16" s="58">
        <v>2505308.7795849093</v>
      </c>
      <c r="AF16" s="58">
        <v>7564608.153037823</v>
      </c>
      <c r="AG16" s="58">
        <f t="shared" si="4"/>
        <v>10069916.932622733</v>
      </c>
    </row>
    <row r="17" spans="1:33" ht="14.25">
      <c r="A17" s="5">
        <v>10</v>
      </c>
      <c r="B17" s="6" t="s">
        <v>30</v>
      </c>
      <c r="C17" s="60">
        <f>'Anne-8'!R18+'Anne-7'!Q18+'Anne-7'!T18+'Anne-6'!AC18</f>
        <v>1263443</v>
      </c>
      <c r="D17" s="60">
        <f>'Anne-8'!S18+'Anne-7'!R18+'Anne-7'!U18+'Anne-6'!AD18</f>
        <v>527572</v>
      </c>
      <c r="E17" s="58">
        <f t="shared" si="5"/>
        <v>1791015</v>
      </c>
      <c r="F17" s="58"/>
      <c r="G17" s="370" t="s">
        <v>191</v>
      </c>
      <c r="H17" s="370" t="s">
        <v>191</v>
      </c>
      <c r="I17" s="370" t="s">
        <v>191</v>
      </c>
      <c r="J17" s="370" t="s">
        <v>191</v>
      </c>
      <c r="K17" s="370" t="s">
        <v>191</v>
      </c>
      <c r="L17" s="370" t="s">
        <v>191</v>
      </c>
      <c r="M17" s="370" t="s">
        <v>191</v>
      </c>
      <c r="N17" s="370" t="s">
        <v>191</v>
      </c>
      <c r="O17" s="370" t="s">
        <v>191</v>
      </c>
      <c r="P17" s="370" t="s">
        <v>191</v>
      </c>
      <c r="Q17" s="370" t="s">
        <v>191</v>
      </c>
      <c r="R17" s="370" t="s">
        <v>191</v>
      </c>
      <c r="S17" s="370" t="s">
        <v>191</v>
      </c>
      <c r="T17" s="370" t="s">
        <v>191</v>
      </c>
      <c r="U17" s="151">
        <f t="shared" si="0"/>
        <v>16.747484316153365</v>
      </c>
      <c r="V17" s="151">
        <f t="shared" si="1"/>
        <v>2.11610474688863</v>
      </c>
      <c r="W17" s="151">
        <f t="shared" si="2"/>
        <v>5.514997220219444</v>
      </c>
      <c r="X17" s="151"/>
      <c r="Y17" s="151"/>
      <c r="Z17" s="152"/>
      <c r="AA17" s="58"/>
      <c r="AB17" s="58">
        <f t="shared" si="3"/>
        <v>32475.35635074599</v>
      </c>
      <c r="AC17" s="58">
        <f>'Anne-4'!Z17</f>
        <v>7544.076329012458</v>
      </c>
      <c r="AD17" s="58">
        <f>'Anne-4'!AA17</f>
        <v>24931.280021733535</v>
      </c>
      <c r="AE17" s="58">
        <v>5986696.638801611</v>
      </c>
      <c r="AF17" s="58">
        <v>20922730.927083485</v>
      </c>
      <c r="AG17" s="58">
        <f t="shared" si="4"/>
        <v>26909427.565885097</v>
      </c>
    </row>
    <row r="18" spans="1:33" ht="14.25">
      <c r="A18" s="5">
        <v>11</v>
      </c>
      <c r="B18" s="6" t="s">
        <v>31</v>
      </c>
      <c r="C18" s="60">
        <f>'Anne-8'!R19+'Anne-7'!Q19+'Anne-7'!T19+'Anne-6'!AC19</f>
        <v>6806821</v>
      </c>
      <c r="D18" s="60">
        <f>'Anne-8'!S19+'Anne-7'!R19+'Anne-7'!U19+'Anne-6'!AD19</f>
        <v>1930213</v>
      </c>
      <c r="E18" s="58">
        <f t="shared" si="5"/>
        <v>8737034</v>
      </c>
      <c r="F18" s="58"/>
      <c r="G18" s="58">
        <f>E18</f>
        <v>8737034</v>
      </c>
      <c r="H18" s="58">
        <f>'Anne-6'!G19+'Anne-8'!H19</f>
        <v>16848557</v>
      </c>
      <c r="I18" s="58">
        <f>'Anne-6'!S19+'Anne-7'!I19+'Anne-8'!I19</f>
        <v>6931964</v>
      </c>
      <c r="J18" s="58">
        <f>'Anne-6'!I19+'Anne-8'!M19</f>
        <v>6784551</v>
      </c>
      <c r="K18" s="58">
        <f>'Anne-7'!J19+'Anne-8'!J19</f>
        <v>5960519</v>
      </c>
      <c r="L18" s="58">
        <f>'Anne-6'!N19</f>
        <v>6342955</v>
      </c>
      <c r="M18" s="58">
        <f>'Anne-6'!K19</f>
        <v>1918124</v>
      </c>
      <c r="N18" s="217">
        <f>'Anne-6'!X19</f>
        <v>0</v>
      </c>
      <c r="O18" s="58"/>
      <c r="P18" s="58">
        <f>'Anne-7'!L19+'Anne-8'!L19</f>
        <v>1983518</v>
      </c>
      <c r="Q18" s="58">
        <f>'Anne-4'!O18</f>
        <v>0</v>
      </c>
      <c r="R18" s="58">
        <f>'Anne-6'!W19</f>
        <v>0</v>
      </c>
      <c r="S18" s="58">
        <f t="shared" si="6"/>
        <v>46770188</v>
      </c>
      <c r="T18" s="58">
        <f t="shared" si="7"/>
        <v>55507222</v>
      </c>
      <c r="U18" s="151">
        <f t="shared" si="0"/>
        <v>29.667106868898184</v>
      </c>
      <c r="V18" s="151">
        <f t="shared" si="1"/>
        <v>5.096047698671127</v>
      </c>
      <c r="W18" s="151">
        <f t="shared" si="2"/>
        <v>14.365238789446572</v>
      </c>
      <c r="X18" s="151">
        <f>G18/(AA18*1000)*100</f>
        <v>14.365238789446572</v>
      </c>
      <c r="Y18" s="151">
        <f t="shared" si="8"/>
        <v>91.26375135644683</v>
      </c>
      <c r="Z18" s="152">
        <f>G18/T18*100</f>
        <v>15.740355372135179</v>
      </c>
      <c r="AA18" s="58">
        <f>AB18</f>
        <v>60820.66666666666</v>
      </c>
      <c r="AB18" s="58">
        <f t="shared" si="3"/>
        <v>60820.66666666666</v>
      </c>
      <c r="AC18" s="58">
        <f>'Anne-4'!Z18</f>
        <v>22944</v>
      </c>
      <c r="AD18" s="58">
        <f>'Anne-4'!AA18</f>
        <v>37876.66666666666</v>
      </c>
      <c r="AE18" s="58">
        <v>17919858.030487653</v>
      </c>
      <c r="AF18" s="58">
        <v>34814100.213051744</v>
      </c>
      <c r="AG18" s="58">
        <f t="shared" si="4"/>
        <v>52733958.24353939</v>
      </c>
    </row>
    <row r="19" spans="1:33" ht="14.25">
      <c r="A19" s="5">
        <v>12</v>
      </c>
      <c r="B19" s="6" t="s">
        <v>32</v>
      </c>
      <c r="C19" s="60">
        <f>'Anne-8'!R20+'Anne-7'!Q20+'Anne-7'!T20+'Anne-6'!AC20</f>
        <v>5473919</v>
      </c>
      <c r="D19" s="60">
        <f>'Anne-8'!S20+'Anne-7'!R20+'Anne-7'!U20+'Anne-6'!AD20</f>
        <v>5321058</v>
      </c>
      <c r="E19" s="58">
        <f t="shared" si="5"/>
        <v>10794977</v>
      </c>
      <c r="F19" s="58"/>
      <c r="G19" s="58">
        <f>E19</f>
        <v>10794977</v>
      </c>
      <c r="H19" s="58">
        <f>'Anne-6'!G20+'Anne-8'!H20</f>
        <v>3603419</v>
      </c>
      <c r="I19" s="58">
        <f>'Anne-6'!S20+'Anne-7'!I20+'Anne-8'!I20</f>
        <v>3030864</v>
      </c>
      <c r="J19" s="58">
        <f>'Anne-6'!I20+'Anne-8'!M20</f>
        <v>6385292</v>
      </c>
      <c r="K19" s="58">
        <f>'Anne-7'!J20+'Anne-8'!J20</f>
        <v>1717031</v>
      </c>
      <c r="L19" s="58">
        <f>'Anne-6'!N20</f>
        <v>8161641</v>
      </c>
      <c r="M19" s="58">
        <f>'Anne-6'!K20</f>
        <v>29883</v>
      </c>
      <c r="N19" s="217">
        <f>'Anne-6'!X20</f>
        <v>0</v>
      </c>
      <c r="O19" s="58"/>
      <c r="P19" s="58">
        <f>'Anne-7'!L20+'Anne-8'!L20</f>
        <v>450599</v>
      </c>
      <c r="Q19" s="58">
        <f>'Anne-4'!O19</f>
        <v>0</v>
      </c>
      <c r="R19" s="58">
        <f>'Anne-6'!W20</f>
        <v>0</v>
      </c>
      <c r="S19" s="58">
        <f t="shared" si="6"/>
        <v>23378729</v>
      </c>
      <c r="T19" s="58">
        <f t="shared" si="7"/>
        <v>34173706</v>
      </c>
      <c r="U19" s="151">
        <f t="shared" si="0"/>
        <v>61.222670842187675</v>
      </c>
      <c r="V19" s="151">
        <f t="shared" si="1"/>
        <v>20.274558963612115</v>
      </c>
      <c r="W19" s="151">
        <f t="shared" si="2"/>
        <v>30.679750468936508</v>
      </c>
      <c r="X19" s="151">
        <f>G19/(AA19*1000)*100</f>
        <v>30.679750468936508</v>
      </c>
      <c r="Y19" s="151">
        <f t="shared" si="8"/>
        <v>97.12302051952481</v>
      </c>
      <c r="Z19" s="152">
        <f>G19/T19*100</f>
        <v>31.5885464690309</v>
      </c>
      <c r="AA19" s="58">
        <f>AB19</f>
        <v>35186</v>
      </c>
      <c r="AB19" s="58">
        <f t="shared" si="3"/>
        <v>35186</v>
      </c>
      <c r="AC19" s="58">
        <f>'Anne-4'!Z19</f>
        <v>8941</v>
      </c>
      <c r="AD19" s="58">
        <f>'Anne-4'!AA19</f>
        <v>26245</v>
      </c>
      <c r="AE19" s="58">
        <v>8294083.17746361</v>
      </c>
      <c r="AF19" s="58">
        <v>23605130.641880594</v>
      </c>
      <c r="AG19" s="58">
        <f t="shared" si="4"/>
        <v>31899213.819344204</v>
      </c>
    </row>
    <row r="20" spans="1:33" ht="14.25">
      <c r="A20" s="5">
        <v>13</v>
      </c>
      <c r="B20" s="6" t="s">
        <v>33</v>
      </c>
      <c r="C20" s="60">
        <f>'Anne-8'!R21+'Anne-7'!Q21+'Anne-7'!T21+'Anne-6'!AC21</f>
        <v>2677043</v>
      </c>
      <c r="D20" s="60">
        <f>'Anne-8'!S21+'Anne-7'!R21+'Anne-7'!U21+'Anne-6'!AD21</f>
        <v>1314398</v>
      </c>
      <c r="E20" s="58">
        <f t="shared" si="5"/>
        <v>3991441</v>
      </c>
      <c r="F20" s="58"/>
      <c r="G20" s="58">
        <f>E20+E12</f>
        <v>5889831</v>
      </c>
      <c r="H20" s="58">
        <f>'Anne-6'!G21+'Anne-8'!H21</f>
        <v>10475035</v>
      </c>
      <c r="I20" s="58">
        <f>'Anne-6'!S21+'Anne-7'!I21+'Anne-8'!I21</f>
        <v>12836731</v>
      </c>
      <c r="J20" s="58">
        <f>'Anne-6'!I21+'Anne-8'!M21</f>
        <v>4231013</v>
      </c>
      <c r="K20" s="58">
        <f>'Anne-7'!J21+'Anne-8'!J21</f>
        <v>3947726</v>
      </c>
      <c r="L20" s="58">
        <f>'Anne-6'!N21</f>
        <v>16070788</v>
      </c>
      <c r="M20" s="58">
        <f>'Anne-6'!K21</f>
        <v>22694</v>
      </c>
      <c r="N20" s="217">
        <f>'Anne-6'!X21</f>
        <v>0</v>
      </c>
      <c r="O20" s="58"/>
      <c r="P20" s="58">
        <f>'Anne-7'!L21+'Anne-8'!L21</f>
        <v>0</v>
      </c>
      <c r="Q20" s="58">
        <f>'Anne-4'!O20</f>
        <v>0</v>
      </c>
      <c r="R20" s="58">
        <f>'Anne-6'!W21</f>
        <v>862831</v>
      </c>
      <c r="S20" s="58">
        <f t="shared" si="6"/>
        <v>48446818</v>
      </c>
      <c r="T20" s="58">
        <f t="shared" si="7"/>
        <v>54336649</v>
      </c>
      <c r="U20" s="151">
        <f t="shared" si="0"/>
        <v>12.70273903239621</v>
      </c>
      <c r="V20" s="151">
        <f t="shared" si="1"/>
        <v>2.4509569305772603</v>
      </c>
      <c r="W20" s="151">
        <f t="shared" si="2"/>
        <v>5.343116743607596</v>
      </c>
      <c r="X20" s="151">
        <f>G20/(AA20*1000)*100</f>
        <v>5.897143457887779</v>
      </c>
      <c r="Y20" s="151">
        <f t="shared" si="8"/>
        <v>54.404110096519666</v>
      </c>
      <c r="Z20" s="152">
        <f>G20/T20*100</f>
        <v>10.839518277985821</v>
      </c>
      <c r="AA20" s="58">
        <f>AB20+AB12</f>
        <v>99876.00000000003</v>
      </c>
      <c r="AB20" s="58">
        <f t="shared" si="3"/>
        <v>74702.48530083653</v>
      </c>
      <c r="AC20" s="58">
        <f>'Anne-4'!Z20</f>
        <v>21074.533556681356</v>
      </c>
      <c r="AD20" s="58">
        <f>'Anne-4'!AA20</f>
        <v>53627.95174415517</v>
      </c>
      <c r="AE20" s="58">
        <v>16102589.934285555</v>
      </c>
      <c r="AF20" s="58">
        <v>44282527.572407804</v>
      </c>
      <c r="AG20" s="58">
        <f t="shared" si="4"/>
        <v>60385117.50669336</v>
      </c>
    </row>
    <row r="21" spans="1:33" ht="14.25">
      <c r="A21" s="5">
        <v>14</v>
      </c>
      <c r="B21" s="6" t="s">
        <v>34</v>
      </c>
      <c r="C21" s="60">
        <f>'Anne-8'!R22+'Anne-7'!Q22+'Anne-7'!T22+'Anne-6'!AC22</f>
        <v>5577855</v>
      </c>
      <c r="D21" s="60">
        <f>'Anne-8'!S22+'Anne-7'!R22+'Anne-7'!U22+'Anne-6'!AD22</f>
        <v>3004498</v>
      </c>
      <c r="E21" s="58">
        <f>C21+D21</f>
        <v>8582353</v>
      </c>
      <c r="F21" s="58"/>
      <c r="G21" s="58">
        <f>E21</f>
        <v>8582353</v>
      </c>
      <c r="H21" s="58">
        <f>'Anne-6'!G22+'Anne-8'!H22</f>
        <v>10103993</v>
      </c>
      <c r="I21" s="58">
        <f>'Anne-6'!S22+'Anne-7'!I22+'Anne-8'!I22</f>
        <v>8207808</v>
      </c>
      <c r="J21" s="58">
        <f>'Anne-6'!I22+'Anne-8'!M22</f>
        <v>13647766</v>
      </c>
      <c r="K21" s="58">
        <f>'Anne-7'!J22+'Anne-8'!J22</f>
        <v>6423762</v>
      </c>
      <c r="L21" s="58">
        <f>'Anne-6'!N22</f>
        <v>16786007</v>
      </c>
      <c r="M21" s="58">
        <f>'Anne-6'!K22</f>
        <v>1246495</v>
      </c>
      <c r="N21" s="217">
        <f>'Anne-6'!X22</f>
        <v>0</v>
      </c>
      <c r="O21" s="58"/>
      <c r="P21" s="58">
        <f>'Anne-7'!L22+'Anne-8'!L22</f>
        <v>0</v>
      </c>
      <c r="Q21" s="58">
        <f>'Anne-4'!O21</f>
        <v>5541113</v>
      </c>
      <c r="R21" s="58">
        <f>'Anne-6'!W22</f>
        <v>0</v>
      </c>
      <c r="S21" s="58">
        <f t="shared" si="6"/>
        <v>61956944</v>
      </c>
      <c r="T21" s="58">
        <f t="shared" si="7"/>
        <v>70539297</v>
      </c>
      <c r="U21" s="151">
        <f t="shared" si="0"/>
        <v>16.56323405316768</v>
      </c>
      <c r="V21" s="151">
        <f t="shared" si="1"/>
        <v>4.802663086046772</v>
      </c>
      <c r="W21" s="151">
        <f t="shared" si="2"/>
        <v>8.918108868680113</v>
      </c>
      <c r="X21" s="151">
        <f>G21/(AA21*1000)*100</f>
        <v>8.918108868680113</v>
      </c>
      <c r="Y21" s="151">
        <f t="shared" si="8"/>
        <v>73.2989111687856</v>
      </c>
      <c r="Z21" s="152">
        <f>G21/T21*100</f>
        <v>12.166768546048878</v>
      </c>
      <c r="AA21" s="58">
        <f>AB21</f>
        <v>96235.1225621469</v>
      </c>
      <c r="AB21" s="58">
        <f t="shared" si="3"/>
        <v>96235.1225621469</v>
      </c>
      <c r="AC21" s="58">
        <f>'Anne-4'!Z21</f>
        <v>33676.122562146906</v>
      </c>
      <c r="AD21" s="58">
        <f>'Anne-4'!AA21</f>
        <v>62559</v>
      </c>
      <c r="AE21" s="58">
        <v>25058603.980361335</v>
      </c>
      <c r="AF21" s="58">
        <v>56407642.20004471</v>
      </c>
      <c r="AG21" s="58">
        <f t="shared" si="4"/>
        <v>81466246.18040603</v>
      </c>
    </row>
    <row r="22" spans="1:33" ht="14.25">
      <c r="A22" s="5">
        <v>15</v>
      </c>
      <c r="B22" s="6" t="s">
        <v>35</v>
      </c>
      <c r="C22" s="60">
        <f>'Anne-8'!R23+'Anne-7'!Q23+'Anne-7'!T23+'Anne-6'!AC23</f>
        <v>719730</v>
      </c>
      <c r="D22" s="60">
        <f>'Anne-8'!S23+'Anne-7'!R23+'Anne-7'!U23+'Anne-6'!AD23</f>
        <v>361185</v>
      </c>
      <c r="E22" s="58">
        <f t="shared" si="5"/>
        <v>1080915</v>
      </c>
      <c r="F22" s="58"/>
      <c r="G22" s="58">
        <f>E22+E23</f>
        <v>1937634</v>
      </c>
      <c r="H22" s="58">
        <f>'Anne-6'!G23+'Anne-8'!H23</f>
        <v>2808177</v>
      </c>
      <c r="I22" s="58">
        <f>'Anne-6'!S23+'Anne-7'!I23+'Anne-8'!I23</f>
        <v>934206</v>
      </c>
      <c r="J22" s="58">
        <f>'Anne-6'!I23+'Anne-8'!M23</f>
        <v>1064436</v>
      </c>
      <c r="K22" s="58">
        <f>'Anne-7'!J23+'Anne-8'!J23</f>
        <v>0</v>
      </c>
      <c r="L22" s="58">
        <f>'Anne-6'!N23</f>
        <v>315123</v>
      </c>
      <c r="M22" s="58">
        <f>'Anne-6'!K23</f>
        <v>2308267</v>
      </c>
      <c r="N22" s="217">
        <f>'Anne-6'!X23</f>
        <v>0</v>
      </c>
      <c r="O22" s="58"/>
      <c r="P22" s="58">
        <f>'Anne-7'!L23+'Anne-8'!L23</f>
        <v>0</v>
      </c>
      <c r="Q22" s="58">
        <f>'Anne-4'!O22</f>
        <v>0</v>
      </c>
      <c r="R22" s="58">
        <f>'Anne-6'!W23</f>
        <v>0</v>
      </c>
      <c r="S22" s="58">
        <f t="shared" si="6"/>
        <v>7430209</v>
      </c>
      <c r="T22" s="58">
        <f t="shared" si="7"/>
        <v>9367843</v>
      </c>
      <c r="U22" s="151">
        <f t="shared" si="0"/>
        <v>38.92798063659787</v>
      </c>
      <c r="V22" s="151">
        <f t="shared" si="1"/>
        <v>6.462417604910543</v>
      </c>
      <c r="W22" s="151">
        <f t="shared" si="2"/>
        <v>14.532562179327652</v>
      </c>
      <c r="X22" s="151">
        <f>G22/(AA22*1000)*100</f>
        <v>14.313262090022658</v>
      </c>
      <c r="Y22" s="151">
        <f t="shared" si="8"/>
        <v>69.20006155816016</v>
      </c>
      <c r="Z22" s="152">
        <f>G22/T22*100</f>
        <v>20.683886354628275</v>
      </c>
      <c r="AA22" s="58">
        <f>AB22+AB23</f>
        <v>13537.33333333333</v>
      </c>
      <c r="AB22" s="58">
        <f t="shared" si="3"/>
        <v>7437.883194042584</v>
      </c>
      <c r="AC22" s="58">
        <f>'Anne-4'!Z22</f>
        <v>1848.8757655293089</v>
      </c>
      <c r="AD22" s="58">
        <f>'Anne-4'!AA22</f>
        <v>5589.007428513275</v>
      </c>
      <c r="AE22" s="58">
        <v>1436746.244734193</v>
      </c>
      <c r="AF22" s="58">
        <v>4951548.718636215</v>
      </c>
      <c r="AG22" s="58">
        <f t="shared" si="4"/>
        <v>6388294.963370408</v>
      </c>
    </row>
    <row r="23" spans="1:33" ht="14.25">
      <c r="A23" s="5">
        <v>16</v>
      </c>
      <c r="B23" s="6" t="s">
        <v>36</v>
      </c>
      <c r="C23" s="60">
        <f>'Anne-8'!R24+'Anne-7'!Q24+'Anne-7'!T24+'Anne-6'!AC24</f>
        <v>512676</v>
      </c>
      <c r="D23" s="60">
        <f>'Anne-8'!S24+'Anne-7'!R24+'Anne-7'!U24+'Anne-6'!AD24</f>
        <v>344043</v>
      </c>
      <c r="E23" s="58">
        <f t="shared" si="5"/>
        <v>856719</v>
      </c>
      <c r="F23" s="58"/>
      <c r="G23" s="370" t="s">
        <v>191</v>
      </c>
      <c r="H23" s="370" t="s">
        <v>191</v>
      </c>
      <c r="I23" s="370" t="s">
        <v>191</v>
      </c>
      <c r="J23" s="370" t="s">
        <v>191</v>
      </c>
      <c r="K23" s="370" t="s">
        <v>191</v>
      </c>
      <c r="L23" s="370" t="s">
        <v>191</v>
      </c>
      <c r="M23" s="370" t="s">
        <v>191</v>
      </c>
      <c r="N23" s="370" t="s">
        <v>191</v>
      </c>
      <c r="O23" s="370" t="s">
        <v>191</v>
      </c>
      <c r="P23" s="370" t="s">
        <v>191</v>
      </c>
      <c r="Q23" s="370" t="s">
        <v>191</v>
      </c>
      <c r="R23" s="370" t="s">
        <v>191</v>
      </c>
      <c r="S23" s="370" t="s">
        <v>191</v>
      </c>
      <c r="T23" s="370" t="s">
        <v>191</v>
      </c>
      <c r="U23" s="151">
        <f t="shared" si="0"/>
        <v>34.69205282055991</v>
      </c>
      <c r="V23" s="151">
        <f t="shared" si="1"/>
        <v>7.444144673406608</v>
      </c>
      <c r="W23" s="151">
        <f t="shared" si="2"/>
        <v>14.045839877947106</v>
      </c>
      <c r="X23" s="151"/>
      <c r="Y23" s="151"/>
      <c r="Z23" s="152"/>
      <c r="AA23" s="58"/>
      <c r="AB23" s="58">
        <f t="shared" si="3"/>
        <v>6099.450139290746</v>
      </c>
      <c r="AC23" s="58">
        <f>'Anne-4'!Z23</f>
        <v>1477.7909011373565</v>
      </c>
      <c r="AD23" s="58">
        <f>'Anne-4'!AA23</f>
        <v>4621.659238153389</v>
      </c>
      <c r="AE23" s="58">
        <v>1145918.7558733525</v>
      </c>
      <c r="AF23" s="58">
        <v>4322467.895077089</v>
      </c>
      <c r="AG23" s="58">
        <f t="shared" si="4"/>
        <v>5468386.650950441</v>
      </c>
    </row>
    <row r="24" spans="1:33" ht="14.25">
      <c r="A24" s="5">
        <v>17</v>
      </c>
      <c r="B24" s="6" t="s">
        <v>37</v>
      </c>
      <c r="C24" s="60">
        <f>'Anne-8'!R25+'Anne-7'!Q25+'Anne-7'!T25+'Anne-6'!AC25</f>
        <v>2926355</v>
      </c>
      <c r="D24" s="60">
        <f>'Anne-8'!S25+'Anne-7'!R25+'Anne-7'!U25+'Anne-6'!AD25</f>
        <v>1952219</v>
      </c>
      <c r="E24" s="58">
        <f t="shared" si="5"/>
        <v>4878574</v>
      </c>
      <c r="F24" s="58"/>
      <c r="G24" s="58">
        <f>E24</f>
        <v>4878574</v>
      </c>
      <c r="H24" s="58">
        <f>'Anne-6'!G25+'Anne-8'!H25</f>
        <v>7159241</v>
      </c>
      <c r="I24" s="58">
        <f>'Anne-6'!S25+'Anne-7'!I25+'Anne-8'!I25</f>
        <v>4012296</v>
      </c>
      <c r="J24" s="58">
        <f>'Anne-6'!I25+'Anne-8'!M25</f>
        <v>3164209</v>
      </c>
      <c r="K24" s="58">
        <f>'Anne-7'!J25+'Anne-8'!J25</f>
        <v>2042641</v>
      </c>
      <c r="L24" s="58">
        <f>'Anne-6'!N25</f>
        <v>1067884</v>
      </c>
      <c r="M24" s="58">
        <f>'Anne-6'!K25</f>
        <v>2883004</v>
      </c>
      <c r="N24" s="217">
        <f>'Anne-6'!X25</f>
        <v>0</v>
      </c>
      <c r="O24" s="58"/>
      <c r="P24" s="58">
        <f>'Anne-7'!L25+'Anne-8'!L25</f>
        <v>0</v>
      </c>
      <c r="Q24" s="58">
        <f>'Anne-4'!O24</f>
        <v>0</v>
      </c>
      <c r="R24" s="58">
        <f>'Anne-6'!W25</f>
        <v>0</v>
      </c>
      <c r="S24" s="58">
        <f t="shared" si="6"/>
        <v>20329275</v>
      </c>
      <c r="T24" s="58">
        <f t="shared" si="7"/>
        <v>25207849</v>
      </c>
      <c r="U24" s="151">
        <f t="shared" si="0"/>
        <v>40.92231855684519</v>
      </c>
      <c r="V24" s="151">
        <f t="shared" si="1"/>
        <v>5.672307021791769</v>
      </c>
      <c r="W24" s="151">
        <f t="shared" si="2"/>
        <v>11.736463437126615</v>
      </c>
      <c r="X24" s="151">
        <f>G24/(AA24*1000)*100</f>
        <v>11.736463437126615</v>
      </c>
      <c r="Y24" s="151">
        <f t="shared" si="8"/>
        <v>60.64292519025205</v>
      </c>
      <c r="Z24" s="152">
        <f>G24/T24*100</f>
        <v>19.353392667498127</v>
      </c>
      <c r="AA24" s="58">
        <f>AB24</f>
        <v>41567.66666666666</v>
      </c>
      <c r="AB24" s="58">
        <f t="shared" si="3"/>
        <v>41567.66666666666</v>
      </c>
      <c r="AC24" s="58">
        <f>'Anne-4'!Z24</f>
        <v>7151</v>
      </c>
      <c r="AD24" s="58">
        <f>'Anne-4'!AA24</f>
        <v>34416.66666666666</v>
      </c>
      <c r="AE24" s="58">
        <v>5496317.981234442</v>
      </c>
      <c r="AF24" s="58">
        <v>31210601.960714735</v>
      </c>
      <c r="AG24" s="58">
        <f t="shared" si="4"/>
        <v>36706919.941949174</v>
      </c>
    </row>
    <row r="25" spans="1:33" ht="14.25">
      <c r="A25" s="5">
        <v>18</v>
      </c>
      <c r="B25" s="6" t="s">
        <v>38</v>
      </c>
      <c r="C25" s="60">
        <f>'Anne-8'!R26+'Anne-7'!Q26+'Anne-7'!T26+'Anne-6'!AC26</f>
        <v>3253067</v>
      </c>
      <c r="D25" s="60">
        <f>'Anne-8'!S26+'Anne-7'!R26+'Anne-7'!U26+'Anne-6'!AD26</f>
        <v>2107975</v>
      </c>
      <c r="E25" s="58">
        <f t="shared" si="5"/>
        <v>5361042</v>
      </c>
      <c r="F25" s="58"/>
      <c r="G25" s="58">
        <f>E25</f>
        <v>5361042</v>
      </c>
      <c r="H25" s="58">
        <f>'Anne-6'!G26+'Anne-8'!H26</f>
        <v>7141059</v>
      </c>
      <c r="I25" s="58">
        <f>'Anne-6'!S26+'Anne-7'!I26+'Anne-8'!I26</f>
        <v>3265629</v>
      </c>
      <c r="J25" s="58">
        <f>'Anne-6'!I26+'Anne-8'!M26</f>
        <v>4483730</v>
      </c>
      <c r="K25" s="58">
        <f>'Anne-7'!J26+'Anne-8'!J26</f>
        <v>2466886</v>
      </c>
      <c r="L25" s="58">
        <f>'Anne-6'!N26</f>
        <v>5842432</v>
      </c>
      <c r="M25" s="58">
        <f>'Anne-6'!K26</f>
        <v>943240</v>
      </c>
      <c r="N25" s="217">
        <f>'Anne-6'!X26</f>
        <v>0</v>
      </c>
      <c r="O25" s="58">
        <f>'Anne-7'!K26+'Anne-8'!K26</f>
        <v>1615365</v>
      </c>
      <c r="P25" s="58">
        <f>'Anne-7'!L26+'Anne-8'!L26</f>
        <v>0</v>
      </c>
      <c r="Q25" s="58">
        <f>'Anne-4'!O25</f>
        <v>0</v>
      </c>
      <c r="R25" s="58">
        <f>'Anne-6'!W26</f>
        <v>0</v>
      </c>
      <c r="S25" s="58">
        <f t="shared" si="6"/>
        <v>25758341</v>
      </c>
      <c r="T25" s="58">
        <f t="shared" si="7"/>
        <v>31119383</v>
      </c>
      <c r="U25" s="151">
        <f t="shared" si="0"/>
        <v>25.80979847667407</v>
      </c>
      <c r="V25" s="151">
        <f t="shared" si="1"/>
        <v>12.132230215827338</v>
      </c>
      <c r="W25" s="151">
        <f t="shared" si="2"/>
        <v>17.882657860502352</v>
      </c>
      <c r="X25" s="151">
        <f>G25/(AA25*1000)*100</f>
        <v>17.882657860502352</v>
      </c>
      <c r="Y25" s="151">
        <f t="shared" si="8"/>
        <v>103.80393942426365</v>
      </c>
      <c r="Z25" s="152">
        <f>G25/T25*100</f>
        <v>17.227340272138427</v>
      </c>
      <c r="AA25" s="58">
        <f>AB25</f>
        <v>29979</v>
      </c>
      <c r="AB25" s="58">
        <f t="shared" si="3"/>
        <v>29979</v>
      </c>
      <c r="AC25" s="58">
        <f>'Anne-4'!Z25</f>
        <v>12604</v>
      </c>
      <c r="AD25" s="58">
        <f>'Anne-4'!AA25</f>
        <v>17375</v>
      </c>
      <c r="AE25" s="60">
        <v>9054362.204957837</v>
      </c>
      <c r="AF25" s="60">
        <v>16135847.643122543</v>
      </c>
      <c r="AG25" s="60">
        <f t="shared" si="4"/>
        <v>25190209.84808038</v>
      </c>
    </row>
    <row r="26" spans="1:33" ht="14.25">
      <c r="A26" s="5">
        <v>19</v>
      </c>
      <c r="B26" s="6" t="s">
        <v>39</v>
      </c>
      <c r="C26" s="60">
        <f>'Anne-8'!R27+'Anne-7'!Q27+'Anne-7'!T27+'Anne-6'!AC27</f>
        <v>4646644</v>
      </c>
      <c r="D26" s="60">
        <f>'Anne-8'!S27+'Anne-7'!R27+'Anne-7'!U27+'Anne-6'!AD27</f>
        <v>2184860</v>
      </c>
      <c r="E26" s="58">
        <f t="shared" si="5"/>
        <v>6831504</v>
      </c>
      <c r="F26" s="58"/>
      <c r="G26" s="58">
        <f>E26</f>
        <v>6831504</v>
      </c>
      <c r="H26" s="58">
        <f>'Anne-6'!G27+'Anne-8'!H27</f>
        <v>14760228</v>
      </c>
      <c r="I26" s="58">
        <f>'Anne-6'!S27+'Anne-7'!I27+'Anne-8'!I27</f>
        <v>5917684</v>
      </c>
      <c r="J26" s="58">
        <f>'Anne-6'!I27+'Anne-8'!M27</f>
        <v>9199117</v>
      </c>
      <c r="K26" s="58">
        <f>'Anne-7'!J27+'Anne-8'!J27</f>
        <v>2668612</v>
      </c>
      <c r="L26" s="58">
        <f>'Anne-6'!N27</f>
        <v>5558442</v>
      </c>
      <c r="M26" s="58">
        <f>'Anne-6'!K27</f>
        <v>3360486</v>
      </c>
      <c r="N26" s="217">
        <f>'Anne-6'!X27</f>
        <v>0</v>
      </c>
      <c r="O26" s="58"/>
      <c r="P26" s="58">
        <f>'Anne-7'!L27+'Anne-8'!L27</f>
        <v>2216975</v>
      </c>
      <c r="Q26" s="58">
        <f>'Anne-4'!O26</f>
        <v>0</v>
      </c>
      <c r="R26" s="58">
        <f>'Anne-6'!W27</f>
        <v>0</v>
      </c>
      <c r="S26" s="58">
        <f t="shared" si="6"/>
        <v>43681544</v>
      </c>
      <c r="T26" s="58">
        <f t="shared" si="7"/>
        <v>50513048</v>
      </c>
      <c r="U26" s="151">
        <f t="shared" si="0"/>
        <v>27.51610114289098</v>
      </c>
      <c r="V26" s="151">
        <f t="shared" si="1"/>
        <v>4.091804629560267</v>
      </c>
      <c r="W26" s="151">
        <f t="shared" si="2"/>
        <v>9.719994877850974</v>
      </c>
      <c r="X26" s="151">
        <f>G26/(AA26*1000)*100</f>
        <v>9.719994877850974</v>
      </c>
      <c r="Y26" s="151">
        <f t="shared" si="8"/>
        <v>71.87093322709617</v>
      </c>
      <c r="Z26" s="152">
        <f>G26/T26*100</f>
        <v>13.524236351764005</v>
      </c>
      <c r="AA26" s="58">
        <f>AB26</f>
        <v>70283</v>
      </c>
      <c r="AB26" s="58">
        <f t="shared" si="3"/>
        <v>70283</v>
      </c>
      <c r="AC26" s="58">
        <f>'Anne-4'!Z26</f>
        <v>16887</v>
      </c>
      <c r="AD26" s="58">
        <f>'Anne-4'!AA26</f>
        <v>53396</v>
      </c>
      <c r="AE26" s="58">
        <v>13205444.173387725</v>
      </c>
      <c r="AF26" s="58">
        <v>43267678.32289427</v>
      </c>
      <c r="AG26" s="58">
        <f t="shared" si="4"/>
        <v>56473122.496282</v>
      </c>
    </row>
    <row r="27" spans="1:35" ht="14.25">
      <c r="A27" s="5">
        <v>20</v>
      </c>
      <c r="B27" s="6" t="s">
        <v>40</v>
      </c>
      <c r="C27" s="60">
        <f>'Anne-8'!R28+'Anne-7'!Q28+'Anne-7'!T28+'Anne-6'!AC28</f>
        <v>8136227</v>
      </c>
      <c r="D27" s="60">
        <f>'Anne-8'!S28+'Anne-7'!R28+'Anne-7'!U28+'Anne-6'!AD28</f>
        <v>1480229</v>
      </c>
      <c r="E27" s="58">
        <f t="shared" si="5"/>
        <v>9616456</v>
      </c>
      <c r="F27" s="58"/>
      <c r="G27" s="58">
        <f>E27</f>
        <v>9616456</v>
      </c>
      <c r="H27" s="58">
        <f>'Anne-6'!G28+'Anne-8'!H28</f>
        <v>10060614</v>
      </c>
      <c r="I27" s="58">
        <f>'Anne-6'!S28+'Anne-7'!I28+'Anne-8'!I28</f>
        <v>5951604</v>
      </c>
      <c r="J27" s="58">
        <f>'Anne-6'!I28+'Anne-8'!M28</f>
        <v>10281640</v>
      </c>
      <c r="K27" s="58">
        <f>'Anne-7'!J28+'Anne-8'!J28</f>
        <v>3888898</v>
      </c>
      <c r="L27" s="58">
        <f>'Anne-6'!N28</f>
        <v>2352639</v>
      </c>
      <c r="M27" s="58">
        <f>'Anne-6'!K28</f>
        <v>17611411</v>
      </c>
      <c r="N27" s="217">
        <f>'Anne-6'!X28</f>
        <v>0</v>
      </c>
      <c r="O27" s="58"/>
      <c r="P27" s="58">
        <f>'Anne-7'!L28+'Anne-8'!L28</f>
        <v>1161453</v>
      </c>
      <c r="Q27" s="58">
        <f>'Anne-4'!O27</f>
        <v>0</v>
      </c>
      <c r="R27" s="58">
        <f>'Anne-6'!W28</f>
        <v>0</v>
      </c>
      <c r="S27" s="58">
        <f t="shared" si="6"/>
        <v>51308259</v>
      </c>
      <c r="T27" s="58">
        <f t="shared" si="7"/>
        <v>60924715</v>
      </c>
      <c r="U27" s="151">
        <f t="shared" si="0"/>
        <v>28.61416427087798</v>
      </c>
      <c r="V27" s="151">
        <f t="shared" si="1"/>
        <v>4.882558548653106</v>
      </c>
      <c r="W27" s="151">
        <f t="shared" si="2"/>
        <v>16.36817646409904</v>
      </c>
      <c r="X27" s="151">
        <f>G27/(AA27*1000)*100</f>
        <v>16.36817646409904</v>
      </c>
      <c r="Y27" s="151">
        <f t="shared" si="8"/>
        <v>103.69999989028618</v>
      </c>
      <c r="Z27" s="152">
        <f>G27/T27*100</f>
        <v>15.784162470025507</v>
      </c>
      <c r="AA27" s="58">
        <f>AB27</f>
        <v>58750.93063110694</v>
      </c>
      <c r="AB27" s="58">
        <f t="shared" si="3"/>
        <v>58750.93063110694</v>
      </c>
      <c r="AC27" s="58">
        <f>'Anne-4'!Z27</f>
        <v>28434.263964440266</v>
      </c>
      <c r="AD27" s="58">
        <f>'Anne-4'!AA27</f>
        <v>30316.66666666667</v>
      </c>
      <c r="AE27" s="58">
        <v>21465162.047406718</v>
      </c>
      <c r="AF27" s="58">
        <v>31120827.47722959</v>
      </c>
      <c r="AG27" s="58">
        <f t="shared" si="4"/>
        <v>52585989.52463631</v>
      </c>
      <c r="AI27">
        <v>1133925</v>
      </c>
    </row>
    <row r="28" spans="1:34" ht="14.25">
      <c r="A28" s="5">
        <v>21</v>
      </c>
      <c r="B28" s="6" t="s">
        <v>41</v>
      </c>
      <c r="C28" s="60">
        <f>'Anne-8'!R29+'Anne-7'!Q29+'Anne-7'!T29+'Anne-6'!AC29</f>
        <v>843086</v>
      </c>
      <c r="D28" s="60">
        <f>'Anne-8'!S29+'Anne-7'!R29+'Anne-7'!U29+'Anne-6'!AD29</f>
        <v>632613</v>
      </c>
      <c r="E28" s="58">
        <f t="shared" si="5"/>
        <v>1475699</v>
      </c>
      <c r="F28" s="58"/>
      <c r="G28" s="370" t="s">
        <v>191</v>
      </c>
      <c r="H28" s="370" t="s">
        <v>191</v>
      </c>
      <c r="I28" s="370" t="s">
        <v>191</v>
      </c>
      <c r="J28" s="370" t="s">
        <v>191</v>
      </c>
      <c r="K28" s="370" t="s">
        <v>191</v>
      </c>
      <c r="L28" s="370" t="s">
        <v>191</v>
      </c>
      <c r="M28" s="370" t="s">
        <v>191</v>
      </c>
      <c r="N28" s="370" t="s">
        <v>191</v>
      </c>
      <c r="O28" s="370" t="s">
        <v>191</v>
      </c>
      <c r="P28" s="370" t="s">
        <v>191</v>
      </c>
      <c r="Q28" s="370" t="s">
        <v>191</v>
      </c>
      <c r="R28" s="370" t="s">
        <v>191</v>
      </c>
      <c r="S28" s="370" t="s">
        <v>191</v>
      </c>
      <c r="T28" s="370" t="s">
        <v>191</v>
      </c>
      <c r="U28" s="151">
        <f t="shared" si="0"/>
        <v>28.45443266657491</v>
      </c>
      <c r="V28" s="151">
        <f t="shared" si="1"/>
        <v>8.480726509376517</v>
      </c>
      <c r="W28" s="151">
        <f t="shared" si="2"/>
        <v>14.15898026030023</v>
      </c>
      <c r="X28" s="151"/>
      <c r="Y28" s="151"/>
      <c r="Z28" s="152"/>
      <c r="AA28" s="58"/>
      <c r="AB28" s="58">
        <f t="shared" si="3"/>
        <v>10422.353678517728</v>
      </c>
      <c r="AC28" s="58">
        <f>'Anne-4'!Z28</f>
        <v>2962.9337891890686</v>
      </c>
      <c r="AD28" s="58">
        <f>'Anne-4'!AA28</f>
        <v>7459.419889328658</v>
      </c>
      <c r="AE28" s="58">
        <v>2170244.7224881384</v>
      </c>
      <c r="AF28" s="58">
        <v>6309317.326735535</v>
      </c>
      <c r="AG28" s="58">
        <f t="shared" si="4"/>
        <v>8479562.049223673</v>
      </c>
      <c r="AH28">
        <v>540493</v>
      </c>
    </row>
    <row r="29" spans="1:35" ht="14.25">
      <c r="A29" s="5">
        <v>22</v>
      </c>
      <c r="B29" s="6" t="s">
        <v>42</v>
      </c>
      <c r="C29" s="60">
        <f>'Anne-8'!R30+'Anne-7'!Q30+'Anne-7'!T30+'Anne-6'!AC30</f>
        <v>7874551</v>
      </c>
      <c r="D29" s="60">
        <f>'Anne-8'!S30+'Anne-7'!R30+'Anne-7'!U30+'Anne-6'!AD30</f>
        <v>3457268</v>
      </c>
      <c r="E29" s="58">
        <f t="shared" si="5"/>
        <v>11331819</v>
      </c>
      <c r="F29" s="58"/>
      <c r="G29" s="58">
        <f>E29</f>
        <v>11331819</v>
      </c>
      <c r="H29" s="58">
        <f>'Anne-6'!G30+'Anne-8'!H30</f>
        <v>15629506</v>
      </c>
      <c r="I29" s="58">
        <f>'Anne-6'!S30+'Anne-7'!I30+'Anne-8'!I30</f>
        <v>10008322</v>
      </c>
      <c r="J29" s="58">
        <f>'Anne-6'!I30+'Anne-8'!M30</f>
        <v>15291228</v>
      </c>
      <c r="K29" s="58">
        <f>'Anne-7'!J30+'Anne-8'!J30</f>
        <v>4213424</v>
      </c>
      <c r="L29" s="58">
        <f>'Anne-6'!N30</f>
        <v>7930109</v>
      </c>
      <c r="M29" s="58">
        <f>'Anne-6'!K30</f>
        <v>4219738</v>
      </c>
      <c r="N29" s="217">
        <f>'Anne-6'!X30</f>
        <v>0</v>
      </c>
      <c r="O29" s="58"/>
      <c r="P29" s="58">
        <f>'Anne-7'!L30+'Anne-8'!L30</f>
        <v>0</v>
      </c>
      <c r="Q29" s="58">
        <f>'Anne-4'!O29</f>
        <v>7440256</v>
      </c>
      <c r="R29" s="58">
        <f>'Anne-6'!W30</f>
        <v>0</v>
      </c>
      <c r="S29" s="58">
        <f t="shared" si="6"/>
        <v>64732583</v>
      </c>
      <c r="T29" s="58">
        <f t="shared" si="7"/>
        <v>76064402</v>
      </c>
      <c r="U29" s="151">
        <f t="shared" si="0"/>
        <v>31.982701647546463</v>
      </c>
      <c r="V29" s="151">
        <f t="shared" si="1"/>
        <v>2.9151920691766153</v>
      </c>
      <c r="W29" s="151">
        <f t="shared" si="2"/>
        <v>7.91238945218618</v>
      </c>
      <c r="X29" s="151">
        <f aca="true" t="shared" si="9" ref="X29:X37">G29/(AA29*1000)*100</f>
        <v>7.91238945218618</v>
      </c>
      <c r="Y29" s="151">
        <f t="shared" si="8"/>
        <v>53.11161183139701</v>
      </c>
      <c r="Z29" s="152">
        <f aca="true" t="shared" si="10" ref="Z29:Z34">G29/T29*100</f>
        <v>14.897663955867294</v>
      </c>
      <c r="AA29" s="58">
        <f>AB29</f>
        <v>143216.14309403131</v>
      </c>
      <c r="AB29" s="58">
        <f t="shared" si="3"/>
        <v>143216.14309403131</v>
      </c>
      <c r="AC29" s="58">
        <f>'Anne-4'!Z29</f>
        <v>24621.281487657227</v>
      </c>
      <c r="AD29" s="58">
        <f>'Anne-4'!AA29</f>
        <v>118594.86160637409</v>
      </c>
      <c r="AE29" s="60">
        <v>18305425.424703386</v>
      </c>
      <c r="AF29" s="60">
        <v>96103124.17518596</v>
      </c>
      <c r="AG29" s="60">
        <f t="shared" si="4"/>
        <v>114408549.59988935</v>
      </c>
      <c r="AH29">
        <v>1027015247</v>
      </c>
      <c r="AI29" s="73">
        <f>AH28/AH29*AI27</f>
        <v>596.756987605852</v>
      </c>
    </row>
    <row r="30" spans="1:35" ht="14.25">
      <c r="A30" s="5">
        <v>23</v>
      </c>
      <c r="B30" s="6" t="s">
        <v>43</v>
      </c>
      <c r="C30" s="60">
        <f>'Anne-8'!R31+'Anne-7'!Q31+'Anne-7'!T31+'Anne-6'!AC31</f>
        <v>2991521</v>
      </c>
      <c r="D30" s="60">
        <f>'Anne-8'!S31+'Anne-7'!R31+'Anne-7'!U31+'Anne-6'!AD31</f>
        <v>915397</v>
      </c>
      <c r="E30" s="58">
        <f t="shared" si="5"/>
        <v>3906918</v>
      </c>
      <c r="F30" s="58"/>
      <c r="G30" s="58">
        <f>E30+E28</f>
        <v>5382617</v>
      </c>
      <c r="H30" s="58">
        <f>'Anne-6'!G31+'Anne-8'!H31</f>
        <v>6645957</v>
      </c>
      <c r="I30" s="58">
        <f>'Anne-6'!S31+'Anne-7'!I31+'Anne-8'!I31</f>
        <v>6845590</v>
      </c>
      <c r="J30" s="58">
        <f>'Anne-6'!I31+'Anne-8'!M31</f>
        <v>9604532</v>
      </c>
      <c r="K30" s="58">
        <f>'Anne-7'!J31+'Anne-8'!J31</f>
        <v>3779138</v>
      </c>
      <c r="L30" s="58">
        <f>'Anne-6'!N31</f>
        <v>10972813</v>
      </c>
      <c r="M30" s="58">
        <f>'Anne-6'!K31</f>
        <v>109150</v>
      </c>
      <c r="N30" s="217">
        <f>'Anne-6'!X31</f>
        <v>0</v>
      </c>
      <c r="O30" s="58"/>
      <c r="P30" s="58">
        <f>'Anne-7'!L31+'Anne-8'!L31</f>
        <v>379458</v>
      </c>
      <c r="Q30" s="58">
        <f>'Anne-4'!O30</f>
        <v>5262422</v>
      </c>
      <c r="R30" s="58">
        <f>'Anne-6'!W31</f>
        <v>0</v>
      </c>
      <c r="S30" s="58">
        <f t="shared" si="6"/>
        <v>43599060</v>
      </c>
      <c r="T30" s="58">
        <f t="shared" si="7"/>
        <v>48981677</v>
      </c>
      <c r="U30" s="151">
        <f t="shared" si="0"/>
        <v>13.723128579093045</v>
      </c>
      <c r="V30" s="151">
        <f t="shared" si="1"/>
        <v>2.09325854069845</v>
      </c>
      <c r="W30" s="151">
        <f t="shared" si="2"/>
        <v>5.962044474772976</v>
      </c>
      <c r="X30" s="151">
        <f t="shared" si="9"/>
        <v>7.086848954639792</v>
      </c>
      <c r="Y30" s="151">
        <f t="shared" si="8"/>
        <v>64.49014418896124</v>
      </c>
      <c r="Z30" s="152">
        <f t="shared" si="10"/>
        <v>10.989041881926582</v>
      </c>
      <c r="AA30" s="58">
        <f>AB30+AB28</f>
        <v>75952.190239302</v>
      </c>
      <c r="AB30" s="58">
        <f t="shared" si="3"/>
        <v>65529.836560784264</v>
      </c>
      <c r="AC30" s="58">
        <f>'Anne-4'!Z30</f>
        <v>21799.118056487</v>
      </c>
      <c r="AD30" s="58">
        <f>'Anne-4'!AA30</f>
        <v>43730.71850429726</v>
      </c>
      <c r="AE30" s="60">
        <v>16207203.922645923</v>
      </c>
      <c r="AF30" s="60">
        <v>35437105.906304315</v>
      </c>
      <c r="AG30" s="60">
        <f t="shared" si="4"/>
        <v>51644309.82895024</v>
      </c>
      <c r="AI30">
        <f>30849+754+52382</f>
        <v>83985</v>
      </c>
    </row>
    <row r="31" spans="1:35" ht="14.25">
      <c r="A31" s="5">
        <v>24</v>
      </c>
      <c r="B31" s="6" t="s">
        <v>44</v>
      </c>
      <c r="C31" s="60">
        <f>'Anne-8'!R32+'Anne-7'!Q32+'Anne-7'!T32+'Anne-6'!AC32</f>
        <v>1658017</v>
      </c>
      <c r="D31" s="60">
        <f>'Anne-8'!S32+'Anne-7'!R32+'Anne-7'!U32+'Anne-6'!AD32</f>
        <v>1639721</v>
      </c>
      <c r="E31" s="58">
        <f t="shared" si="5"/>
        <v>3297738</v>
      </c>
      <c r="F31" s="58"/>
      <c r="G31" s="58">
        <f>E31+E8</f>
        <v>3532147</v>
      </c>
      <c r="H31" s="58">
        <f>'Anne-6'!G32+'Anne-8'!H32</f>
        <v>9418336</v>
      </c>
      <c r="I31" s="58">
        <f>'Anne-6'!S32+'Anne-7'!I32+'Anne-8'!I32</f>
        <v>7384588</v>
      </c>
      <c r="J31" s="58">
        <f>'Anne-6'!I32+'Anne-8'!M32</f>
        <v>11836468</v>
      </c>
      <c r="K31" s="58">
        <f>'Anne-7'!J32+'Anne-8'!J32</f>
        <v>1868624</v>
      </c>
      <c r="L31" s="58">
        <f>'Anne-6'!N32</f>
        <v>2811705</v>
      </c>
      <c r="M31" s="58">
        <f>'Anne-6'!K32</f>
        <v>3176579</v>
      </c>
      <c r="N31" s="217">
        <f>'Anne-6'!X32</f>
        <v>0</v>
      </c>
      <c r="O31" s="58"/>
      <c r="P31" s="58">
        <f>'Anne-7'!L32+'Anne-8'!L32</f>
        <v>1770490</v>
      </c>
      <c r="Q31" s="58">
        <f>'Anne-4'!O31</f>
        <v>0</v>
      </c>
      <c r="R31" s="58">
        <f>'Anne-6'!W32</f>
        <v>0</v>
      </c>
      <c r="S31" s="58">
        <f t="shared" si="6"/>
        <v>38266790</v>
      </c>
      <c r="T31" s="58">
        <f t="shared" si="7"/>
        <v>41798937</v>
      </c>
      <c r="U31" s="151">
        <f t="shared" si="0"/>
        <v>15.355345076620397</v>
      </c>
      <c r="V31" s="151">
        <f t="shared" si="1"/>
        <v>2.4883676416992953</v>
      </c>
      <c r="W31" s="151">
        <f t="shared" si="2"/>
        <v>4.299914767083058</v>
      </c>
      <c r="X31" s="151">
        <f t="shared" si="9"/>
        <v>4.576655986133728</v>
      </c>
      <c r="Y31" s="151">
        <f t="shared" si="8"/>
        <v>54.159511264700065</v>
      </c>
      <c r="Z31" s="152">
        <f t="shared" si="10"/>
        <v>8.450327337271759</v>
      </c>
      <c r="AA31" s="58">
        <f>AB31+AB8</f>
        <v>77177.46342966649</v>
      </c>
      <c r="AB31" s="58">
        <f t="shared" si="3"/>
        <v>76693.10157598992</v>
      </c>
      <c r="AC31" s="58">
        <f>'Anne-4'!Z31</f>
        <v>10797.653792388219</v>
      </c>
      <c r="AD31" s="58">
        <f>'Anne-4'!AA31</f>
        <v>65895.4477836017</v>
      </c>
      <c r="AE31" s="58">
        <v>9329940.33700887</v>
      </c>
      <c r="AF31" s="58">
        <v>58215178.05927157</v>
      </c>
      <c r="AG31" s="58">
        <f t="shared" si="4"/>
        <v>67545118.39628044</v>
      </c>
      <c r="AI31" s="72">
        <f>AI30/(AI29*1000)</f>
        <v>0.14073567925353003</v>
      </c>
    </row>
    <row r="32" spans="1:33" ht="14.25">
      <c r="A32" s="5">
        <v>25</v>
      </c>
      <c r="B32" s="6" t="s">
        <v>45</v>
      </c>
      <c r="C32" s="60">
        <f>'Anne-8'!R33+'Anne-7'!Q33+'Anne-7'!T33+'Anne-6'!AC33</f>
        <v>3201657</v>
      </c>
      <c r="D32" s="60">
        <f>'Anne-8'!S33+'Anne-7'!R33+'Anne-7'!U33+'Anne-6'!AD33</f>
        <v>0</v>
      </c>
      <c r="E32" s="58">
        <f t="shared" si="5"/>
        <v>3201657</v>
      </c>
      <c r="F32" s="58"/>
      <c r="G32" s="58">
        <f>E32</f>
        <v>3201657</v>
      </c>
      <c r="H32" s="58">
        <f>'Anne-6'!G33+'Anne-8'!H33</f>
        <v>3786390</v>
      </c>
      <c r="I32" s="58">
        <f>'Anne-6'!S33+'Anne-7'!I33+'Anne-8'!I33</f>
        <v>4379060</v>
      </c>
      <c r="J32" s="58">
        <f>'Anne-6'!I33+'Anne-8'!M33</f>
        <v>4336236</v>
      </c>
      <c r="K32" s="58">
        <f>'Anne-7'!J33+'Anne-8'!J33</f>
        <v>2876674</v>
      </c>
      <c r="L32" s="58">
        <f>'Anne-6'!N33</f>
        <v>1371401</v>
      </c>
      <c r="M32" s="58">
        <f>'Anne-6'!K33</f>
        <v>1939653</v>
      </c>
      <c r="N32" s="217">
        <f>'Anne-6'!X33</f>
        <v>0</v>
      </c>
      <c r="O32" s="58"/>
      <c r="P32" s="58">
        <f>'Anne-7'!L33+'Anne-8'!L33</f>
        <v>778263</v>
      </c>
      <c r="Q32" s="58">
        <f>'Anne-4'!O32</f>
        <v>0</v>
      </c>
      <c r="R32" s="58">
        <f>'Anne-6'!W33</f>
        <v>0</v>
      </c>
      <c r="S32" s="58">
        <f t="shared" si="6"/>
        <v>19467677</v>
      </c>
      <c r="T32" s="58">
        <f t="shared" si="7"/>
        <v>22669334</v>
      </c>
      <c r="U32" s="151">
        <f>C32/(AC32*1000)*100</f>
        <v>20.839775082121168</v>
      </c>
      <c r="V32" s="151"/>
      <c r="W32" s="151">
        <f t="shared" si="2"/>
        <v>20.839775082121168</v>
      </c>
      <c r="X32" s="151">
        <f t="shared" si="9"/>
        <v>20.839775082121168</v>
      </c>
      <c r="Y32" s="151">
        <f t="shared" si="8"/>
        <v>147.55603795830788</v>
      </c>
      <c r="Z32" s="152">
        <f t="shared" si="10"/>
        <v>14.123295373388562</v>
      </c>
      <c r="AA32" s="58">
        <f>AB32</f>
        <v>15363.2032370002</v>
      </c>
      <c r="AB32" s="58">
        <f t="shared" si="3"/>
        <v>15363.2032370002</v>
      </c>
      <c r="AC32" s="58">
        <f>'Anne-4'!Z32</f>
        <v>15363.2032370002</v>
      </c>
      <c r="AD32" s="58">
        <f>'Anne-4'!AA32</f>
        <v>0</v>
      </c>
      <c r="AE32" s="58">
        <v>13216546.058361439</v>
      </c>
      <c r="AF32" s="58">
        <v>0</v>
      </c>
      <c r="AG32" s="58">
        <f t="shared" si="4"/>
        <v>13216546.058361439</v>
      </c>
    </row>
    <row r="33" spans="1:33" ht="14.25">
      <c r="A33" s="5">
        <v>26</v>
      </c>
      <c r="B33" s="6" t="s">
        <v>46</v>
      </c>
      <c r="C33" s="60">
        <f>'Anne-8'!R34+'Anne-7'!Q34+'Anne-7'!T34+'Anne-6'!AC34</f>
        <v>2263186</v>
      </c>
      <c r="D33" s="60">
        <f>'Anne-8'!S34+'Anne-7'!R34+'Anne-7'!U34+'Anne-6'!AD34</f>
        <v>76622</v>
      </c>
      <c r="E33" s="58">
        <f t="shared" si="5"/>
        <v>2339808</v>
      </c>
      <c r="F33" s="58"/>
      <c r="G33" s="58">
        <f>E33</f>
        <v>2339808</v>
      </c>
      <c r="H33" s="58">
        <f>'Anne-6'!G34+'Anne-8'!H34</f>
        <v>4079953</v>
      </c>
      <c r="I33" s="58">
        <f>'Anne-6'!S34+'Anne-7'!I34+'Anne-8'!I34</f>
        <v>1008550</v>
      </c>
      <c r="J33" s="58">
        <f>'Anne-6'!I34+'Anne-8'!M34</f>
        <v>2152605</v>
      </c>
      <c r="K33" s="58">
        <f>'Anne-7'!J34+'Anne-8'!J34</f>
        <v>1414752</v>
      </c>
      <c r="L33" s="58">
        <f>'Anne-6'!N34</f>
        <v>0</v>
      </c>
      <c r="M33" s="58">
        <f>'Anne-6'!K34</f>
        <v>3975573</v>
      </c>
      <c r="N33" s="217">
        <f>'Anne-6'!X34</f>
        <v>0</v>
      </c>
      <c r="O33" s="58"/>
      <c r="P33" s="58">
        <f>'Anne-7'!L34+'Anne-8'!L34</f>
        <v>0</v>
      </c>
      <c r="Q33" s="58">
        <f>'Anne-4'!O33</f>
        <v>0</v>
      </c>
      <c r="R33" s="58">
        <f>'Anne-6'!W34</f>
        <v>0</v>
      </c>
      <c r="S33" s="58">
        <f t="shared" si="6"/>
        <v>12631433</v>
      </c>
      <c r="T33" s="58">
        <f t="shared" si="7"/>
        <v>14971241</v>
      </c>
      <c r="U33" s="151">
        <f>C33/(AC33*1000)*100</f>
        <v>20.249307127815324</v>
      </c>
      <c r="V33" s="151"/>
      <c r="W33" s="151">
        <f t="shared" si="2"/>
        <v>20.934863865417743</v>
      </c>
      <c r="X33" s="151">
        <f t="shared" si="9"/>
        <v>20.934863865417743</v>
      </c>
      <c r="Y33" s="151">
        <f t="shared" si="8"/>
        <v>133.95154313147088</v>
      </c>
      <c r="Z33" s="152">
        <f t="shared" si="10"/>
        <v>15.628684355558766</v>
      </c>
      <c r="AA33" s="58">
        <f>AB33</f>
        <v>11176.609578365225</v>
      </c>
      <c r="AB33" s="58">
        <f t="shared" si="3"/>
        <v>11176.609578365225</v>
      </c>
      <c r="AC33" s="58">
        <f>'Anne-4'!Z33</f>
        <v>11176.609578365225</v>
      </c>
      <c r="AD33" s="58">
        <f>'Anne-4'!AA33</f>
        <v>0</v>
      </c>
      <c r="AE33" s="58">
        <v>6424623.633861813</v>
      </c>
      <c r="AF33" s="61">
        <v>4074054.461012357</v>
      </c>
      <c r="AG33" s="58">
        <f t="shared" si="4"/>
        <v>10498678.09487417</v>
      </c>
    </row>
    <row r="34" spans="1:33" ht="15">
      <c r="A34" s="5"/>
      <c r="B34" s="7" t="s">
        <v>47</v>
      </c>
      <c r="C34" s="86">
        <f aca="true" t="shared" si="11" ref="C34:J34">SUM(C8:C33)</f>
        <v>77648385</v>
      </c>
      <c r="D34" s="86">
        <f t="shared" si="11"/>
        <v>40232631</v>
      </c>
      <c r="E34" s="58">
        <f t="shared" si="11"/>
        <v>117881016</v>
      </c>
      <c r="F34" s="58">
        <f>SUM(F8:F33)</f>
        <v>0</v>
      </c>
      <c r="G34" s="58">
        <f>SUM(G8:G33)</f>
        <v>117881016</v>
      </c>
      <c r="H34" s="58">
        <f>'Anne-6'!G35+'Anne-8'!H35</f>
        <v>179506208</v>
      </c>
      <c r="I34" s="58">
        <f>'Anne-6'!S35+'Anne-7'!I35+'Anne-8'!I35</f>
        <v>112691149</v>
      </c>
      <c r="J34" s="58">
        <f t="shared" si="11"/>
        <v>139925973</v>
      </c>
      <c r="K34" s="58">
        <f>'Anne-7'!J35+'Anne-8'!J35</f>
        <v>58921974</v>
      </c>
      <c r="L34" s="58">
        <f>'Anne-6'!N35</f>
        <v>116923993</v>
      </c>
      <c r="M34" s="58">
        <f>'Anne-6'!K35</f>
        <v>56453100</v>
      </c>
      <c r="N34" s="217">
        <f>'Anne-6'!X35</f>
        <v>0</v>
      </c>
      <c r="O34" s="58">
        <f>'Anne-7'!K35+'Anne-8'!K35</f>
        <v>1615365</v>
      </c>
      <c r="P34" s="58">
        <f>SUM(P8:P33)</f>
        <v>8941410</v>
      </c>
      <c r="Q34" s="58">
        <f>'Anne-4'!O34</f>
        <v>32295872</v>
      </c>
      <c r="R34" s="58">
        <f>'Anne-6'!W35</f>
        <v>2285177</v>
      </c>
      <c r="S34" s="58">
        <f t="shared" si="6"/>
        <v>709560221</v>
      </c>
      <c r="T34" s="58">
        <f>SUM(T8:T33)</f>
        <v>827574053</v>
      </c>
      <c r="U34" s="154">
        <f>C34/(AC34*1000)*100</f>
        <v>23.297963870892925</v>
      </c>
      <c r="V34" s="154">
        <f>D34/(AD34*1000)*100</f>
        <v>4.711967395895715</v>
      </c>
      <c r="W34" s="154">
        <f t="shared" si="2"/>
        <v>9.929972150052688</v>
      </c>
      <c r="X34" s="154">
        <f t="shared" si="9"/>
        <v>9.929972150052688</v>
      </c>
      <c r="Y34" s="154">
        <f t="shared" si="8"/>
        <v>69.71255913162665</v>
      </c>
      <c r="Z34" s="154">
        <f t="shared" si="10"/>
        <v>14.24416528921793</v>
      </c>
      <c r="AA34" s="58">
        <f aca="true" t="shared" si="12" ref="AA34:AG34">SUM(AA8:AA33)</f>
        <v>1187123.329438286</v>
      </c>
      <c r="AB34" s="58">
        <f t="shared" si="12"/>
        <v>1187123.329438286</v>
      </c>
      <c r="AC34" s="38">
        <f t="shared" si="12"/>
        <v>333283.9961049524</v>
      </c>
      <c r="AD34" s="38">
        <f t="shared" si="12"/>
        <v>853839.3333333333</v>
      </c>
      <c r="AE34" s="36">
        <f t="shared" si="12"/>
        <v>255905193.08587155</v>
      </c>
      <c r="AF34" s="36">
        <f t="shared" si="12"/>
        <v>740697077.7409049</v>
      </c>
      <c r="AG34" s="36">
        <f t="shared" si="12"/>
        <v>996602270.8267765</v>
      </c>
    </row>
    <row r="35" spans="1:33" ht="14.25">
      <c r="A35" s="4">
        <v>27</v>
      </c>
      <c r="B35" s="3" t="s">
        <v>48</v>
      </c>
      <c r="C35" s="58"/>
      <c r="D35" s="58"/>
      <c r="E35" s="58"/>
      <c r="F35" s="58">
        <f>'Anne-8'!E36+'Anne-7'!G36+'Anne-6'!E36</f>
        <v>4197877</v>
      </c>
      <c r="G35" s="87">
        <f>F35</f>
        <v>4197877</v>
      </c>
      <c r="H35" s="58">
        <f>'Anne-6'!G36+'Anne-8'!H36</f>
        <v>10493657</v>
      </c>
      <c r="I35" s="58">
        <f>'Anne-6'!S36+'Anne-7'!I36+'Anne-8'!I36</f>
        <v>7977874</v>
      </c>
      <c r="J35" s="58">
        <f>'Anne-6'!I36+'Anne-8'!M36</f>
        <v>8573855</v>
      </c>
      <c r="K35" s="58">
        <f>'Anne-7'!J36+'Anne-8'!J36</f>
        <v>3123640</v>
      </c>
      <c r="L35" s="58">
        <f>'Anne-6'!N36</f>
        <v>4944716</v>
      </c>
      <c r="M35" s="58">
        <f>'Anne-6'!K36</f>
        <v>2956149</v>
      </c>
      <c r="N35" s="217">
        <f>'Anne-6'!X36</f>
        <v>0</v>
      </c>
      <c r="O35" s="58">
        <f>'Anne-7'!K36+'Anne-8'!K36</f>
        <v>0</v>
      </c>
      <c r="P35" s="58">
        <f>'Anne-7'!L36+'Anne-8'!L36</f>
        <v>881544</v>
      </c>
      <c r="Q35" s="58">
        <f>'Anne-4'!O35</f>
        <v>0</v>
      </c>
      <c r="R35" s="58">
        <f>'Anne-6'!W36</f>
        <v>0</v>
      </c>
      <c r="S35" s="58">
        <f t="shared" si="6"/>
        <v>38951435</v>
      </c>
      <c r="T35" s="58">
        <f>G35+S35</f>
        <v>43149312</v>
      </c>
      <c r="U35" s="151"/>
      <c r="V35" s="151"/>
      <c r="W35" s="151"/>
      <c r="X35" s="151">
        <f t="shared" si="9"/>
        <v>21.291007607776848</v>
      </c>
      <c r="Y35" s="151">
        <f t="shared" si="8"/>
        <v>218.84689095519875</v>
      </c>
      <c r="Z35" s="152"/>
      <c r="AA35" s="58">
        <f>AB35</f>
        <v>19716.66666666666</v>
      </c>
      <c r="AB35" s="58">
        <f>AC35+AD35</f>
        <v>19716.66666666666</v>
      </c>
      <c r="AC35" s="58">
        <f>'Anne-4'!Z35</f>
        <v>18898.33333333333</v>
      </c>
      <c r="AD35" s="58">
        <f>'Anne-4'!AA35</f>
        <v>818.3333333333335</v>
      </c>
      <c r="AE35" s="58">
        <f>'Anne-4'!AB35</f>
        <v>0</v>
      </c>
      <c r="AF35" s="58">
        <f>'Anne-4'!AC35</f>
        <v>17607.999999999985</v>
      </c>
      <c r="AG35" s="58">
        <f>'Anne-4'!AD35</f>
        <v>842.9999999999995</v>
      </c>
    </row>
    <row r="36" spans="1:33" ht="14.25">
      <c r="A36" s="4">
        <v>28</v>
      </c>
      <c r="B36" s="3" t="s">
        <v>49</v>
      </c>
      <c r="C36" s="58"/>
      <c r="D36" s="88"/>
      <c r="E36" s="58"/>
      <c r="F36" s="58">
        <f>'Anne-8'!E37+'Anne-7'!G37+'Anne-6'!E37</f>
        <v>3964370</v>
      </c>
      <c r="G36" s="87">
        <f>F36</f>
        <v>3964370</v>
      </c>
      <c r="H36" s="58">
        <f>'Anne-6'!G37+'Anne-8'!H37</f>
        <v>4201645</v>
      </c>
      <c r="I36" s="58">
        <f>'Anne-6'!S37+'Anne-7'!I37+'Anne-8'!I37</f>
        <v>6306460</v>
      </c>
      <c r="J36" s="58">
        <f>'Anne-6'!I37+'Anne-8'!M37</f>
        <v>6575110</v>
      </c>
      <c r="K36" s="58">
        <f>'Anne-7'!J37+'Anne-8'!J37</f>
        <v>4051214</v>
      </c>
      <c r="L36" s="58">
        <f>'Anne-6'!N37</f>
        <v>3099398</v>
      </c>
      <c r="M36" s="58">
        <f>'Anne-6'!K37</f>
        <v>1560725</v>
      </c>
      <c r="N36" s="217">
        <f>'Anne-6'!X37</f>
        <v>2868751</v>
      </c>
      <c r="O36" s="58">
        <f>'Anne-7'!K37+'Anne-8'!K37</f>
        <v>0</v>
      </c>
      <c r="P36" s="58">
        <f>'Anne-7'!L37+'Anne-8'!L37</f>
        <v>0</v>
      </c>
      <c r="Q36" s="58">
        <f>'Anne-4'!O36</f>
        <v>0</v>
      </c>
      <c r="R36" s="58">
        <f>'Anne-6'!W37</f>
        <v>0</v>
      </c>
      <c r="S36" s="58">
        <f t="shared" si="6"/>
        <v>28663303</v>
      </c>
      <c r="T36" s="58">
        <f>G36+S36</f>
        <v>32627673</v>
      </c>
      <c r="U36" s="151"/>
      <c r="V36" s="151"/>
      <c r="W36" s="151"/>
      <c r="X36" s="151">
        <f t="shared" si="9"/>
        <v>18.149486079749988</v>
      </c>
      <c r="Y36" s="151">
        <f t="shared" si="8"/>
        <v>149.37442694000168</v>
      </c>
      <c r="Z36" s="152"/>
      <c r="AA36" s="58">
        <f>AB36</f>
        <v>21842.877437853105</v>
      </c>
      <c r="AB36" s="58">
        <f>AC36+AD36</f>
        <v>21842.877437853105</v>
      </c>
      <c r="AC36" s="58">
        <f>'Anne-4'!Z36</f>
        <v>21842.877437853105</v>
      </c>
      <c r="AD36" s="58">
        <f>'Anne-4'!AA36</f>
        <v>0</v>
      </c>
      <c r="AE36" s="58">
        <v>6424623.633861813</v>
      </c>
      <c r="AF36" s="61">
        <v>4074054.461012357</v>
      </c>
      <c r="AG36" s="66">
        <v>16629998.819593966</v>
      </c>
    </row>
    <row r="37" spans="1:33" ht="15">
      <c r="A37" s="4"/>
      <c r="B37" s="3" t="s">
        <v>50</v>
      </c>
      <c r="C37" s="58">
        <f aca="true" t="shared" si="13" ref="C37:J37">SUM(C34:C36)</f>
        <v>77648385</v>
      </c>
      <c r="D37" s="58">
        <f t="shared" si="13"/>
        <v>40232631</v>
      </c>
      <c r="E37" s="58">
        <f t="shared" si="13"/>
        <v>117881016</v>
      </c>
      <c r="F37" s="58">
        <f t="shared" si="13"/>
        <v>8162247</v>
      </c>
      <c r="G37" s="58">
        <f>SUM(G34:G36)</f>
        <v>126043263</v>
      </c>
      <c r="H37" s="58">
        <f t="shared" si="13"/>
        <v>194201510</v>
      </c>
      <c r="I37" s="58">
        <f t="shared" si="13"/>
        <v>126975483</v>
      </c>
      <c r="J37" s="58">
        <f t="shared" si="13"/>
        <v>155074938</v>
      </c>
      <c r="K37" s="58">
        <f>'Anne-7'!J38+'Anne-8'!J38</f>
        <v>66096828</v>
      </c>
      <c r="L37" s="58">
        <f>SUM(L34:L36)</f>
        <v>124968107</v>
      </c>
      <c r="M37" s="58">
        <f>SUM(M34:M36)</f>
        <v>60969974</v>
      </c>
      <c r="N37" s="217">
        <f>'Anne-6'!X38</f>
        <v>2868751</v>
      </c>
      <c r="O37" s="58">
        <f>SUM(O34:O36)</f>
        <v>1615365</v>
      </c>
      <c r="P37" s="58">
        <f>SUM(P34:P36)</f>
        <v>9822954</v>
      </c>
      <c r="Q37" s="58">
        <f>'Anne-4'!O37</f>
        <v>32295872</v>
      </c>
      <c r="R37" s="58">
        <f>'Anne-6'!W38</f>
        <v>2285177</v>
      </c>
      <c r="S37" s="58">
        <f t="shared" si="6"/>
        <v>777174959</v>
      </c>
      <c r="T37" s="58">
        <f>SUM(T34:T36)</f>
        <v>903351038</v>
      </c>
      <c r="U37" s="154">
        <f>C34/(AC34*1000)*100</f>
        <v>23.297963870892925</v>
      </c>
      <c r="V37" s="154">
        <f>D34/(AD34*1000)*100</f>
        <v>4.711967395895715</v>
      </c>
      <c r="W37" s="154">
        <f>E34/(AB34*1000)*100</f>
        <v>9.929972150052688</v>
      </c>
      <c r="X37" s="154">
        <f t="shared" si="9"/>
        <v>10.258404810068253</v>
      </c>
      <c r="Y37" s="154">
        <f t="shared" si="8"/>
        <v>73.52190361335971</v>
      </c>
      <c r="Z37" s="154">
        <f>G34/T37*100</f>
        <v>13.049303210077232</v>
      </c>
      <c r="AA37" s="66">
        <f aca="true" t="shared" si="14" ref="AA37:AG37">SUM(AA34:AA36)</f>
        <v>1228682.8735428057</v>
      </c>
      <c r="AB37" s="58">
        <f t="shared" si="14"/>
        <v>1228682.8735428057</v>
      </c>
      <c r="AC37" s="58">
        <f t="shared" si="14"/>
        <v>374025.2068761388</v>
      </c>
      <c r="AD37" s="58">
        <f t="shared" si="14"/>
        <v>854657.6666666666</v>
      </c>
      <c r="AE37" s="67">
        <f t="shared" si="14"/>
        <v>262329816.71973336</v>
      </c>
      <c r="AF37" s="67">
        <f t="shared" si="14"/>
        <v>744788740.2019173</v>
      </c>
      <c r="AG37" s="67">
        <f t="shared" si="14"/>
        <v>1013233112.6463704</v>
      </c>
    </row>
    <row r="38" spans="1:33" ht="14.25">
      <c r="A38" s="3"/>
      <c r="B38" s="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36"/>
      <c r="P38" s="36"/>
      <c r="Q38" s="36"/>
      <c r="R38" s="36"/>
      <c r="S38" s="56"/>
      <c r="T38" s="56"/>
      <c r="U38" s="64"/>
      <c r="V38" s="64"/>
      <c r="W38" s="64"/>
      <c r="X38" s="64"/>
      <c r="Y38" s="68"/>
      <c r="Z38" s="68"/>
      <c r="AA38" s="69"/>
      <c r="AB38" s="69"/>
      <c r="AC38" s="64"/>
      <c r="AD38" s="64"/>
      <c r="AE38" s="69"/>
      <c r="AF38" s="69"/>
      <c r="AG38" s="69"/>
    </row>
    <row r="39" spans="1:33" ht="14.25">
      <c r="A39" s="3"/>
      <c r="B39" s="3" t="s">
        <v>51</v>
      </c>
      <c r="C39" s="153">
        <f>C37/T37*100</f>
        <v>8.595593709828671</v>
      </c>
      <c r="D39" s="153">
        <f>D37/T37*100</f>
        <v>4.4537095002485625</v>
      </c>
      <c r="E39" s="153">
        <f>E37/T37*100</f>
        <v>13.049303210077232</v>
      </c>
      <c r="F39" s="153">
        <f>F37/U37</f>
        <v>350341.6455288361</v>
      </c>
      <c r="G39" s="153">
        <f>G37/T37*100</f>
        <v>13.952855279721282</v>
      </c>
      <c r="H39" s="153">
        <f>H37/T37*100</f>
        <v>21.497900797231388</v>
      </c>
      <c r="I39" s="153">
        <f>I37/T37*100</f>
        <v>14.056051043138337</v>
      </c>
      <c r="J39" s="153">
        <f>J37/T37*100</f>
        <v>17.166630852977445</v>
      </c>
      <c r="K39" s="153">
        <f>K37/T37*100</f>
        <v>7.3168486246871405</v>
      </c>
      <c r="L39" s="153">
        <f>L37/T37*100</f>
        <v>13.833836652988934</v>
      </c>
      <c r="M39" s="153">
        <f>M37/T37*100</f>
        <v>6.749311334715044</v>
      </c>
      <c r="N39" s="153">
        <f>N37/T37*100</f>
        <v>0.3175676873468097</v>
      </c>
      <c r="O39" s="153">
        <f>O37/T37*100</f>
        <v>0.1788191890028027</v>
      </c>
      <c r="P39" s="153">
        <f>P37/T37*100</f>
        <v>1.0873905698661521</v>
      </c>
      <c r="Q39" s="153">
        <f>Q37/T37*100</f>
        <v>3.5751187125995196</v>
      </c>
      <c r="R39" s="153">
        <f>R37/T37*100</f>
        <v>0.25296666565628056</v>
      </c>
      <c r="S39" s="153">
        <f>S37/T37*100</f>
        <v>86.03244213020986</v>
      </c>
      <c r="T39" s="153">
        <f>T37/T37*100</f>
        <v>100</v>
      </c>
      <c r="U39" s="64"/>
      <c r="V39" s="64"/>
      <c r="W39" s="64"/>
      <c r="X39" s="64"/>
      <c r="Y39" s="68"/>
      <c r="Z39" s="68"/>
      <c r="AA39" s="69"/>
      <c r="AB39" s="69"/>
      <c r="AC39" s="65"/>
      <c r="AD39" s="65"/>
      <c r="AE39" s="69"/>
      <c r="AF39" s="69"/>
      <c r="AG39" s="69"/>
    </row>
    <row r="40" spans="1:33" ht="14.25">
      <c r="A40" s="101"/>
      <c r="B40" s="372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64"/>
      <c r="V40" s="64"/>
      <c r="W40" s="64"/>
      <c r="X40" s="64"/>
      <c r="Y40" s="433"/>
      <c r="Z40" s="68"/>
      <c r="AA40" s="69"/>
      <c r="AB40" s="432"/>
      <c r="AC40" s="65"/>
      <c r="AD40" s="65"/>
      <c r="AE40" s="69"/>
      <c r="AF40" s="69"/>
      <c r="AG40" s="69"/>
    </row>
    <row r="41" spans="2:26" ht="14.25">
      <c r="B41" s="373" t="s">
        <v>193</v>
      </c>
      <c r="C41" s="81"/>
      <c r="D41" s="81"/>
      <c r="E41" s="81"/>
      <c r="Y41" s="32"/>
      <c r="Z41" s="32"/>
    </row>
    <row r="42" spans="2:33" ht="15">
      <c r="B42" s="26" t="s">
        <v>192</v>
      </c>
      <c r="AA42" s="264"/>
      <c r="AB42" s="42"/>
      <c r="AC42" s="42"/>
      <c r="AD42" s="42"/>
      <c r="AE42" s="42">
        <f>AE22+AE23+AE10</f>
        <v>5972077.622558512</v>
      </c>
      <c r="AF42" s="42">
        <f>AF22+AF23+AF10</f>
        <v>32523010.472636186</v>
      </c>
      <c r="AG42" s="42">
        <f>AG22+AG23+AG10</f>
        <v>38495088.0951947</v>
      </c>
    </row>
    <row r="43" spans="2:30" ht="15">
      <c r="B43" s="26" t="s">
        <v>78</v>
      </c>
      <c r="T43" s="81"/>
      <c r="Y43" s="428"/>
      <c r="Z43" s="23"/>
      <c r="AA43" s="42"/>
      <c r="AB43" s="42"/>
      <c r="AC43" s="157"/>
      <c r="AD43" s="157"/>
    </row>
    <row r="44" ht="15">
      <c r="B44" s="26" t="s">
        <v>74</v>
      </c>
    </row>
    <row r="45" spans="2:27" ht="15">
      <c r="B45" s="26" t="s">
        <v>73</v>
      </c>
      <c r="AA45" s="42"/>
    </row>
    <row r="46" spans="2:19" ht="15">
      <c r="B46" s="26" t="s">
        <v>77</v>
      </c>
      <c r="S46" s="81"/>
    </row>
    <row r="48" spans="5:21" ht="14.25">
      <c r="E48" s="81"/>
      <c r="T48" s="81"/>
      <c r="U48" s="81"/>
    </row>
    <row r="49" spans="5:20" ht="14.25"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ht="14.25">
      <c r="D50" s="157">
        <f>D37/100000</f>
        <v>402.32631</v>
      </c>
    </row>
    <row r="51" spans="19:29" ht="14.25">
      <c r="S51" s="77">
        <v>3104575</v>
      </c>
      <c r="T51" s="295">
        <f>T10+T22</f>
        <v>24301519</v>
      </c>
      <c r="U51" s="78"/>
      <c r="V51" s="77"/>
      <c r="W51" s="77"/>
      <c r="AB51" s="81">
        <f>T10+T22</f>
        <v>24301519</v>
      </c>
      <c r="AC51" s="92">
        <f>AB51/(AB52*1000)*100</f>
        <v>54.026186612125116</v>
      </c>
    </row>
    <row r="52" spans="19:33" ht="14.25">
      <c r="S52" s="77"/>
      <c r="T52" s="295">
        <f>AB10+AB22+AB23</f>
        <v>44981.00000000001</v>
      </c>
      <c r="U52" s="77"/>
      <c r="V52" s="77"/>
      <c r="W52" s="77"/>
      <c r="AB52" s="42">
        <f>AB10+AB22+AB23</f>
        <v>44981.00000000001</v>
      </c>
      <c r="AC52">
        <f>AB52*1000</f>
        <v>44981000.00000001</v>
      </c>
      <c r="AG52" s="41" t="s">
        <v>94</v>
      </c>
    </row>
    <row r="53" spans="19:33" ht="15.75">
      <c r="S53" s="79"/>
      <c r="T53" s="296">
        <f>T51/(T52*1000)*100</f>
        <v>54.026186612125116</v>
      </c>
      <c r="U53" s="296">
        <f>S51/T51*100</f>
        <v>12.775230223262998</v>
      </c>
      <c r="V53" s="79"/>
      <c r="W53" s="77"/>
      <c r="AA53" s="43"/>
      <c r="AB53" s="412">
        <v>3514556</v>
      </c>
      <c r="AC53">
        <v>3514556</v>
      </c>
      <c r="AE53" s="41" t="s">
        <v>95</v>
      </c>
      <c r="AG53" s="43">
        <v>34582571</v>
      </c>
    </row>
    <row r="54" spans="4:33" ht="15">
      <c r="D54" s="92"/>
      <c r="E54" s="92"/>
      <c r="F54" s="92"/>
      <c r="G54" s="92"/>
      <c r="S54" s="79"/>
      <c r="T54" s="79"/>
      <c r="U54" s="79"/>
      <c r="V54" s="79"/>
      <c r="W54" s="77"/>
      <c r="AA54" s="44"/>
      <c r="AB54" s="41">
        <f>AB53/(AB52*1000)*100</f>
        <v>7.813423445454746</v>
      </c>
      <c r="AC54">
        <f>AC53/AC52*100</f>
        <v>7.813423445454746</v>
      </c>
      <c r="AE54" s="41">
        <v>14706583</v>
      </c>
      <c r="AG54" s="44">
        <f>AG53/AG37*100</f>
        <v>3.4130912786374465</v>
      </c>
    </row>
    <row r="55" spans="19:31" ht="14.25">
      <c r="S55" s="78"/>
      <c r="T55" s="78"/>
      <c r="U55" s="78"/>
      <c r="V55" s="78"/>
      <c r="W55" s="77"/>
      <c r="AE55" s="41">
        <v>-14768247</v>
      </c>
    </row>
    <row r="56" spans="2:31" ht="14.25">
      <c r="B56" s="95"/>
      <c r="C56" s="177" t="s">
        <v>87</v>
      </c>
      <c r="D56" s="177" t="s">
        <v>88</v>
      </c>
      <c r="E56" s="177" t="s">
        <v>47</v>
      </c>
      <c r="S56" s="92"/>
      <c r="AE56" s="41">
        <f>SUM(AE54:AE55)</f>
        <v>-61664</v>
      </c>
    </row>
    <row r="57" spans="2:5" ht="14.25">
      <c r="B57" s="177" t="s">
        <v>180</v>
      </c>
      <c r="C57" s="106">
        <f>C10+C22+C23</f>
        <v>2204842</v>
      </c>
      <c r="D57" s="106">
        <f>D10+D22+D23</f>
        <v>1149289</v>
      </c>
      <c r="E57" s="106">
        <f>SUM(C57:D57)</f>
        <v>3354131</v>
      </c>
    </row>
    <row r="58" spans="2:19" ht="14.25">
      <c r="B58" s="177" t="s">
        <v>181</v>
      </c>
      <c r="C58" s="106">
        <f>AC10+AC22+AC23</f>
        <v>8148.666666666665</v>
      </c>
      <c r="D58" s="106">
        <f>AD10+AD22+AD23</f>
        <v>36832.333333333336</v>
      </c>
      <c r="E58" s="106">
        <f>SUM(C58:D58)</f>
        <v>44981</v>
      </c>
      <c r="S58" s="92"/>
    </row>
    <row r="59" spans="2:5" ht="14.25">
      <c r="B59" s="177" t="s">
        <v>182</v>
      </c>
      <c r="C59" s="224">
        <f>C57/(C58*1000)*100</f>
        <v>27.057702691646902</v>
      </c>
      <c r="D59" s="224">
        <f>D57/(D58*1000)*100</f>
        <v>3.1203263437016386</v>
      </c>
      <c r="E59" s="224">
        <f>E57/(E58*1000)*100</f>
        <v>7.456772859651853</v>
      </c>
    </row>
  </sheetData>
  <sheetProtection/>
  <mergeCells count="12">
    <mergeCell ref="A6:A7"/>
    <mergeCell ref="B6:B7"/>
    <mergeCell ref="G6:G7"/>
    <mergeCell ref="C6:E6"/>
    <mergeCell ref="AE6:AG6"/>
    <mergeCell ref="Z6:Z7"/>
    <mergeCell ref="AA6:AA7"/>
    <mergeCell ref="S6:S7"/>
    <mergeCell ref="T6:T7"/>
    <mergeCell ref="X6:Y6"/>
    <mergeCell ref="AB6:AD6"/>
    <mergeCell ref="U6:W6"/>
  </mergeCells>
  <conditionalFormatting sqref="Y8">
    <cfRule type="top10" priority="29" dxfId="1" stopIfTrue="1" rank="5" bottom="1"/>
    <cfRule type="top10" priority="35" dxfId="1" stopIfTrue="1" rank="5" bottom="1"/>
  </conditionalFormatting>
  <conditionalFormatting sqref="Z8">
    <cfRule type="cellIs" priority="26" dxfId="0" operator="greaterThan" stopIfTrue="1">
      <formula>0.4</formula>
    </cfRule>
  </conditionalFormatting>
  <conditionalFormatting sqref="U8:V37">
    <cfRule type="top10" priority="23" dxfId="1" stopIfTrue="1" rank="5" bottom="1"/>
    <cfRule type="top10" priority="24" dxfId="0" stopIfTrue="1" rank="5"/>
  </conditionalFormatting>
  <conditionalFormatting sqref="W8:W37">
    <cfRule type="top10" priority="19" dxfId="1" stopIfTrue="1" rank="5" bottom="1"/>
    <cfRule type="top10" priority="20" dxfId="0" stopIfTrue="1" rank="5"/>
  </conditionalFormatting>
  <conditionalFormatting sqref="X9:X37">
    <cfRule type="top10" priority="17" dxfId="1" stopIfTrue="1" rank="5" bottom="1"/>
    <cfRule type="top10" priority="18" dxfId="0" stopIfTrue="1" rank="5"/>
  </conditionalFormatting>
  <conditionalFormatting sqref="Y9:Y37">
    <cfRule type="top10" priority="15" dxfId="1" stopIfTrue="1" rank="5" bottom="1"/>
    <cfRule type="top10" priority="16" dxfId="0" stopIfTrue="1" rank="5"/>
  </conditionalFormatting>
  <conditionalFormatting sqref="Z9:Z37">
    <cfRule type="top10" priority="13" dxfId="1" stopIfTrue="1" rank="5" bottom="1"/>
    <cfRule type="top10" priority="14" dxfId="0" stopIfTrue="1" rank="5"/>
  </conditionalFormatting>
  <conditionalFormatting sqref="U8:U34">
    <cfRule type="top10" priority="11" dxfId="1" stopIfTrue="1" rank="5" bottom="1"/>
    <cfRule type="top10" priority="12" dxfId="0" stopIfTrue="1" rank="5"/>
  </conditionalFormatting>
  <conditionalFormatting sqref="V8:V33">
    <cfRule type="top10" priority="9" dxfId="1" stopIfTrue="1" rank="5" bottom="1"/>
    <cfRule type="top10" priority="10" dxfId="0" stopIfTrue="1" rank="5"/>
  </conditionalFormatting>
  <conditionalFormatting sqref="W8:W33">
    <cfRule type="top10" priority="7" dxfId="1" stopIfTrue="1" rank="5" bottom="1"/>
    <cfRule type="top10" priority="8" dxfId="0" stopIfTrue="1" rank="5"/>
  </conditionalFormatting>
  <conditionalFormatting sqref="X9:X33">
    <cfRule type="top10" priority="5" dxfId="1" stopIfTrue="1" rank="5" bottom="1"/>
    <cfRule type="top10" priority="6" dxfId="0" stopIfTrue="1" rank="5"/>
  </conditionalFormatting>
  <conditionalFormatting sqref="Y9:Y33">
    <cfRule type="top10" priority="3" dxfId="1" stopIfTrue="1" rank="5" bottom="1"/>
    <cfRule type="top10" priority="4" dxfId="0" stopIfTrue="1" rank="5"/>
  </conditionalFormatting>
  <conditionalFormatting sqref="Z9:Z33">
    <cfRule type="top10" priority="1" dxfId="1" stopIfTrue="1" rank="5" bottom="1"/>
    <cfRule type="top10" priority="2" dxfId="0" stopIfTrue="1" rank="5"/>
  </conditionalFormatting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1" activeCellId="1" sqref="C31 F31"/>
    </sheetView>
  </sheetViews>
  <sheetFormatPr defaultColWidth="9.140625" defaultRowHeight="12.75"/>
  <cols>
    <col min="1" max="1" width="5.7109375" style="26" customWidth="1"/>
    <col min="2" max="2" width="27.28125" style="26" customWidth="1"/>
    <col min="3" max="3" width="9.28125" style="26" customWidth="1"/>
    <col min="4" max="4" width="9.421875" style="26" customWidth="1"/>
    <col min="5" max="5" width="9.8515625" style="26" customWidth="1"/>
    <col min="6" max="6" width="12.00390625" style="26" customWidth="1"/>
    <col min="7" max="7" width="10.7109375" style="26" customWidth="1"/>
    <col min="8" max="8" width="9.00390625" style="26" customWidth="1"/>
    <col min="9" max="9" width="8.8515625" style="26" customWidth="1"/>
    <col min="10" max="10" width="10.8515625" style="26" bestFit="1" customWidth="1"/>
    <col min="11" max="11" width="9.7109375" style="26" customWidth="1"/>
    <col min="12" max="12" width="10.421875" style="26" customWidth="1"/>
    <col min="13" max="13" width="11.140625" style="26" customWidth="1"/>
    <col min="14" max="14" width="14.57421875" style="26" customWidth="1"/>
    <col min="15" max="15" width="10.421875" style="26" customWidth="1"/>
    <col min="16" max="16" width="13.421875" style="26" customWidth="1"/>
    <col min="17" max="17" width="9.57421875" style="26" bestFit="1" customWidth="1"/>
    <col min="18" max="21" width="9.140625" style="26" customWidth="1"/>
    <col min="22" max="22" width="12.421875" style="26" customWidth="1"/>
    <col min="23" max="16384" width="9.140625" style="26" customWidth="1"/>
  </cols>
  <sheetData>
    <row r="1" ht="15.75">
      <c r="K1" s="76" t="s">
        <v>119</v>
      </c>
    </row>
    <row r="2" spans="2:7" ht="15">
      <c r="B2" s="2" t="str">
        <f>'Anne-1'!B2</f>
        <v>No. 1-2(1)/Market Share/2012-CP&amp;M </v>
      </c>
      <c r="C2" s="2"/>
      <c r="D2" s="2"/>
      <c r="E2" s="2"/>
      <c r="F2" s="2" t="str">
        <f>'Anne-1'!G2</f>
        <v>Dated: 19th August 2013.</v>
      </c>
      <c r="G2" s="2"/>
    </row>
    <row r="4" spans="2:7" ht="15.75">
      <c r="B4" s="29" t="s">
        <v>224</v>
      </c>
      <c r="G4" s="74"/>
    </row>
    <row r="5" ht="15.75" thickBot="1">
      <c r="B5" s="26" t="s">
        <v>218</v>
      </c>
    </row>
    <row r="6" spans="1:12" ht="17.25" customHeight="1">
      <c r="A6" s="489" t="s">
        <v>62</v>
      </c>
      <c r="B6" s="487" t="s">
        <v>64</v>
      </c>
      <c r="C6" s="478" t="s">
        <v>140</v>
      </c>
      <c r="D6" s="479"/>
      <c r="E6" s="479"/>
      <c r="F6" s="479"/>
      <c r="G6" s="480"/>
      <c r="H6" s="478" t="s">
        <v>143</v>
      </c>
      <c r="I6" s="479"/>
      <c r="J6" s="479"/>
      <c r="K6" s="479"/>
      <c r="L6" s="480"/>
    </row>
    <row r="7" spans="1:12" ht="16.5" customHeight="1">
      <c r="A7" s="490"/>
      <c r="B7" s="488"/>
      <c r="C7" s="483" t="s">
        <v>141</v>
      </c>
      <c r="D7" s="481" t="s">
        <v>139</v>
      </c>
      <c r="E7" s="481"/>
      <c r="F7" s="481"/>
      <c r="G7" s="482" t="s">
        <v>70</v>
      </c>
      <c r="H7" s="477" t="s">
        <v>142</v>
      </c>
      <c r="I7" s="481" t="s">
        <v>139</v>
      </c>
      <c r="J7" s="481"/>
      <c r="K7" s="481"/>
      <c r="L7" s="482" t="s">
        <v>70</v>
      </c>
    </row>
    <row r="8" spans="1:12" ht="21" customHeight="1">
      <c r="A8" s="483"/>
      <c r="B8" s="484"/>
      <c r="C8" s="483"/>
      <c r="D8" s="27" t="s">
        <v>131</v>
      </c>
      <c r="E8" s="27" t="s">
        <v>138</v>
      </c>
      <c r="F8" s="27" t="s">
        <v>89</v>
      </c>
      <c r="G8" s="482"/>
      <c r="H8" s="477"/>
      <c r="I8" s="27" t="s">
        <v>131</v>
      </c>
      <c r="J8" s="27" t="s">
        <v>138</v>
      </c>
      <c r="K8" s="27" t="s">
        <v>89</v>
      </c>
      <c r="L8" s="482"/>
    </row>
    <row r="9" spans="1:23" ht="15.75">
      <c r="A9" s="195">
        <v>1</v>
      </c>
      <c r="B9" s="196" t="s">
        <v>1</v>
      </c>
      <c r="C9" s="190">
        <f>'Anne-8'!D35/1000000</f>
        <v>19.890296</v>
      </c>
      <c r="D9" s="181">
        <f>'Anne-7'!F38/1000000</f>
        <v>2.578171</v>
      </c>
      <c r="E9" s="181">
        <f>'Anne-6'!D35/1000000</f>
        <v>95.412549</v>
      </c>
      <c r="F9" s="181">
        <f>E9+D9</f>
        <v>97.99072</v>
      </c>
      <c r="G9" s="193">
        <f>C9+F9</f>
        <v>117.88101599999999</v>
      </c>
      <c r="H9" s="199">
        <f>C9/C22*100</f>
        <v>66.89124167230727</v>
      </c>
      <c r="I9" s="150">
        <f>D9/$D$22*100</f>
        <v>1.5247895860443057</v>
      </c>
      <c r="J9" s="150">
        <f aca="true" t="shared" si="0" ref="J9:J17">E9/$E$22*100</f>
        <v>13.54523770328639</v>
      </c>
      <c r="K9" s="150">
        <f aca="true" t="shared" si="1" ref="K9:K22">F9/$F$22*100</f>
        <v>11.218389616067432</v>
      </c>
      <c r="L9" s="200">
        <f aca="true" t="shared" si="2" ref="L9:L22">G9/$G$22*100</f>
        <v>13.051222077758304</v>
      </c>
      <c r="N9" s="208"/>
      <c r="O9" s="180"/>
      <c r="P9" s="180"/>
      <c r="V9" s="160">
        <v>29.14983</v>
      </c>
      <c r="W9" s="160">
        <f>V9/V15*100</f>
        <v>77.09726343320534</v>
      </c>
    </row>
    <row r="10" spans="1:23" ht="15.75">
      <c r="A10" s="195">
        <v>2</v>
      </c>
      <c r="B10" s="196" t="s">
        <v>75</v>
      </c>
      <c r="C10" s="192">
        <f>'Anne-8'!H38/1000000</f>
        <v>3.289089</v>
      </c>
      <c r="D10" s="184"/>
      <c r="E10" s="182">
        <f>'Anne-6'!G38/1000000</f>
        <v>190.912421</v>
      </c>
      <c r="F10" s="181">
        <f aca="true" t="shared" si="3" ref="F10:F21">E10+D10</f>
        <v>190.912421</v>
      </c>
      <c r="G10" s="191">
        <f aca="true" t="shared" si="4" ref="G10:G21">C10+F10</f>
        <v>194.20150999999998</v>
      </c>
      <c r="H10" s="202">
        <f>C10/C22*100</f>
        <v>11.061235447714175</v>
      </c>
      <c r="I10" s="150"/>
      <c r="J10" s="149">
        <f t="shared" si="0"/>
        <v>27.102872211860564</v>
      </c>
      <c r="K10" s="149">
        <f t="shared" si="1"/>
        <v>21.85645662492013</v>
      </c>
      <c r="L10" s="201">
        <f t="shared" si="2"/>
        <v>21.501062010239206</v>
      </c>
      <c r="N10" s="74"/>
      <c r="O10" s="180"/>
      <c r="P10" s="180"/>
      <c r="Q10" s="74"/>
      <c r="V10" s="160">
        <v>3.573206</v>
      </c>
      <c r="W10" s="160">
        <f>V10/V15*100</f>
        <v>9.450635021991891</v>
      </c>
    </row>
    <row r="11" spans="1:23" ht="15.75">
      <c r="A11" s="195">
        <v>3</v>
      </c>
      <c r="B11" s="196" t="s">
        <v>13</v>
      </c>
      <c r="C11" s="192">
        <f>'Anne-8'!I38/1000000</f>
        <v>1.242834</v>
      </c>
      <c r="D11" s="181">
        <f>'Anne-7'!I38/1000000</f>
        <v>90.415192</v>
      </c>
      <c r="E11" s="181">
        <f>'Anne-6'!S38/1000000</f>
        <v>35.317457</v>
      </c>
      <c r="F11" s="181">
        <f t="shared" si="3"/>
        <v>125.73264900000001</v>
      </c>
      <c r="G11" s="191">
        <f t="shared" si="4"/>
        <v>126.97548300000001</v>
      </c>
      <c r="H11" s="202">
        <f>C11/C22*100</f>
        <v>4.1796617532770926</v>
      </c>
      <c r="I11" s="149">
        <f>D11/$D$22*100</f>
        <v>53.47362265024175</v>
      </c>
      <c r="J11" s="150">
        <f t="shared" si="0"/>
        <v>5.013841000522853</v>
      </c>
      <c r="K11" s="149">
        <f t="shared" si="1"/>
        <v>14.394402285667981</v>
      </c>
      <c r="L11" s="201">
        <f t="shared" si="2"/>
        <v>14.058117950592013</v>
      </c>
      <c r="N11" s="74"/>
      <c r="O11" s="180"/>
      <c r="P11" s="180"/>
      <c r="Q11" s="74"/>
      <c r="V11" s="160">
        <v>2.756253</v>
      </c>
      <c r="W11" s="160">
        <f>V11/V15*100</f>
        <v>7.2899074756032025</v>
      </c>
    </row>
    <row r="12" spans="1:23" ht="15.75">
      <c r="A12" s="195">
        <v>4</v>
      </c>
      <c r="B12" s="196" t="s">
        <v>109</v>
      </c>
      <c r="C12" s="192">
        <f>'Anne-8'!M38/1000000</f>
        <v>0.04107</v>
      </c>
      <c r="D12" s="184"/>
      <c r="E12" s="182">
        <f>'Anne-6'!I38/1000000</f>
        <v>155.033868</v>
      </c>
      <c r="F12" s="181">
        <f t="shared" si="3"/>
        <v>155.033868</v>
      </c>
      <c r="G12" s="191">
        <f t="shared" si="4"/>
        <v>155.074938</v>
      </c>
      <c r="H12" s="202">
        <f>C12/C22*100</f>
        <v>0.13811877387252858</v>
      </c>
      <c r="I12" s="149"/>
      <c r="J12" s="149">
        <f t="shared" si="0"/>
        <v>22.009375246016386</v>
      </c>
      <c r="K12" s="149">
        <f t="shared" si="1"/>
        <v>17.748929030320106</v>
      </c>
      <c r="L12" s="201">
        <f t="shared" si="2"/>
        <v>17.16915516347942</v>
      </c>
      <c r="N12" s="208"/>
      <c r="O12" s="180"/>
      <c r="P12" s="180"/>
      <c r="Q12" s="74"/>
      <c r="V12" s="160">
        <v>1.115693</v>
      </c>
      <c r="W12" s="160">
        <f>V12/V15*100</f>
        <v>2.950853474328432</v>
      </c>
    </row>
    <row r="13" spans="1:23" ht="15.75">
      <c r="A13" s="195">
        <v>5</v>
      </c>
      <c r="B13" s="196" t="s">
        <v>71</v>
      </c>
      <c r="C13" s="192">
        <f>'Anne-8'!J38/1000000</f>
        <v>1.470813</v>
      </c>
      <c r="D13" s="181">
        <f>'Anne-7'!J38/1000000</f>
        <v>64.626015</v>
      </c>
      <c r="E13" s="185"/>
      <c r="F13" s="181">
        <f>E13+D13</f>
        <v>64.626015</v>
      </c>
      <c r="G13" s="193">
        <f t="shared" si="4"/>
        <v>66.096828</v>
      </c>
      <c r="H13" s="202">
        <f>C13/C22*100</f>
        <v>4.946357150128448</v>
      </c>
      <c r="I13" s="149">
        <f>D13/$D$22*100</f>
        <v>38.22131063437727</v>
      </c>
      <c r="J13" s="150">
        <f t="shared" si="0"/>
        <v>0</v>
      </c>
      <c r="K13" s="150">
        <f t="shared" si="1"/>
        <v>7.398657909685917</v>
      </c>
      <c r="L13" s="200">
        <f t="shared" si="2"/>
        <v>7.3179245491351494</v>
      </c>
      <c r="N13" s="74"/>
      <c r="O13" s="180"/>
      <c r="P13" s="180"/>
      <c r="Q13" s="74"/>
      <c r="V13" s="160">
        <v>0.929564</v>
      </c>
      <c r="W13" s="160">
        <f>V13/V15*100</f>
        <v>2.4585680460580415</v>
      </c>
    </row>
    <row r="14" spans="1:23" ht="15.75">
      <c r="A14" s="195">
        <v>6</v>
      </c>
      <c r="B14" s="196" t="s">
        <v>67</v>
      </c>
      <c r="C14" s="192"/>
      <c r="D14" s="184"/>
      <c r="E14" s="181">
        <f>'Anne-6'!N38/1000000</f>
        <v>124.968107</v>
      </c>
      <c r="F14" s="181">
        <f t="shared" si="3"/>
        <v>124.968107</v>
      </c>
      <c r="G14" s="193">
        <f t="shared" si="4"/>
        <v>124.968107</v>
      </c>
      <c r="H14" s="202"/>
      <c r="I14" s="150"/>
      <c r="J14" s="149">
        <f t="shared" si="0"/>
        <v>17.74109100307893</v>
      </c>
      <c r="K14" s="150">
        <f t="shared" si="1"/>
        <v>14.306874303080983</v>
      </c>
      <c r="L14" s="201">
        <f t="shared" si="2"/>
        <v>13.835870884367523</v>
      </c>
      <c r="N14" s="74"/>
      <c r="O14" s="180"/>
      <c r="P14" s="180"/>
      <c r="Q14" s="74"/>
      <c r="V14" s="160">
        <v>0.284617</v>
      </c>
      <c r="W14" s="160">
        <f>V14/V15*100</f>
        <v>0.7527725488131013</v>
      </c>
    </row>
    <row r="15" spans="1:23" ht="15">
      <c r="A15" s="195">
        <v>7</v>
      </c>
      <c r="B15" s="196" t="s">
        <v>68</v>
      </c>
      <c r="C15" s="192"/>
      <c r="D15" s="184"/>
      <c r="E15" s="181">
        <f>'Anne-6'!K38/1000000</f>
        <v>60.969974</v>
      </c>
      <c r="F15" s="181">
        <f t="shared" si="3"/>
        <v>60.969974</v>
      </c>
      <c r="G15" s="193">
        <f t="shared" si="4"/>
        <v>60.969974</v>
      </c>
      <c r="H15" s="202"/>
      <c r="I15" s="150"/>
      <c r="J15" s="150">
        <f t="shared" si="0"/>
        <v>8.655599281737992</v>
      </c>
      <c r="K15" s="150">
        <f t="shared" si="1"/>
        <v>6.980098964611152</v>
      </c>
      <c r="L15" s="200">
        <f t="shared" si="2"/>
        <v>6.750303804211781</v>
      </c>
      <c r="N15" s="74"/>
      <c r="O15" s="180"/>
      <c r="P15" s="180"/>
      <c r="Q15" s="74"/>
      <c r="V15" s="160">
        <f>SUM(V9:V14)</f>
        <v>37.809163</v>
      </c>
      <c r="W15" s="160">
        <f>V15/V15*100</f>
        <v>100</v>
      </c>
    </row>
    <row r="16" spans="1:17" s="261" customFormat="1" ht="15">
      <c r="A16" s="253">
        <v>8</v>
      </c>
      <c r="B16" s="254" t="s">
        <v>2</v>
      </c>
      <c r="C16" s="255">
        <f>'Anne-8'!E38/1000000</f>
        <v>3.551658</v>
      </c>
      <c r="D16" s="256">
        <f>'Anne-7'!G38/1000000</f>
        <v>0.275543</v>
      </c>
      <c r="E16" s="256">
        <f>'Anne-6'!E38/1000000</f>
        <v>4.335046</v>
      </c>
      <c r="F16" s="256">
        <f t="shared" si="3"/>
        <v>4.610589</v>
      </c>
      <c r="G16" s="257">
        <f t="shared" si="4"/>
        <v>8.162247</v>
      </c>
      <c r="H16" s="258">
        <f>C16/C22*100</f>
        <v>11.94425732102647</v>
      </c>
      <c r="I16" s="259">
        <f>D16/$D$22*100</f>
        <v>0.16296246327625516</v>
      </c>
      <c r="J16" s="259">
        <f t="shared" si="0"/>
        <v>0.6154245865989898</v>
      </c>
      <c r="K16" s="259">
        <f t="shared" si="1"/>
        <v>0.527839613399664</v>
      </c>
      <c r="L16" s="260">
        <f t="shared" si="2"/>
        <v>0.9036849347355176</v>
      </c>
      <c r="N16" s="262"/>
      <c r="O16" s="263"/>
      <c r="P16" s="263"/>
      <c r="Q16" s="262"/>
    </row>
    <row r="17" spans="1:17" ht="15">
      <c r="A17" s="195">
        <v>9</v>
      </c>
      <c r="B17" s="196" t="s">
        <v>185</v>
      </c>
      <c r="C17" s="192"/>
      <c r="D17" s="184"/>
      <c r="E17" s="181">
        <f>'Anne-6'!X38/1000000</f>
        <v>2.868751</v>
      </c>
      <c r="F17" s="181">
        <f t="shared" si="3"/>
        <v>2.868751</v>
      </c>
      <c r="G17" s="193">
        <f t="shared" si="4"/>
        <v>2.868751</v>
      </c>
      <c r="H17" s="202"/>
      <c r="I17" s="150"/>
      <c r="J17" s="150">
        <f t="shared" si="0"/>
        <v>0.4072620909283174</v>
      </c>
      <c r="K17" s="150">
        <f t="shared" si="1"/>
        <v>0.32842667580647494</v>
      </c>
      <c r="L17" s="200">
        <f t="shared" si="2"/>
        <v>0.31761438488781957</v>
      </c>
      <c r="N17" s="74"/>
      <c r="P17" s="180"/>
      <c r="Q17" s="74"/>
    </row>
    <row r="18" spans="1:22" ht="15">
      <c r="A18" s="195">
        <v>10</v>
      </c>
      <c r="B18" s="196" t="s">
        <v>188</v>
      </c>
      <c r="C18" s="192">
        <f>'Anne-8'!K38/1000000</f>
        <v>0.195889</v>
      </c>
      <c r="D18" s="181">
        <f>'Anne-7'!K38/1000000</f>
        <v>1.419476</v>
      </c>
      <c r="E18" s="185"/>
      <c r="F18" s="181">
        <f t="shared" si="3"/>
        <v>1.419476</v>
      </c>
      <c r="G18" s="193">
        <f t="shared" si="4"/>
        <v>1.615365</v>
      </c>
      <c r="H18" s="202">
        <f>C18/C22*100</f>
        <v>0.6587764425399502</v>
      </c>
      <c r="I18" s="150">
        <f>D18/$D$22*100</f>
        <v>0.839510731615485</v>
      </c>
      <c r="J18" s="150"/>
      <c r="K18" s="150">
        <f t="shared" si="1"/>
        <v>0.16250758050004055</v>
      </c>
      <c r="L18" s="200">
        <f t="shared" si="2"/>
        <v>0.17884548392116034</v>
      </c>
      <c r="N18" s="74"/>
      <c r="P18" s="180"/>
      <c r="Q18" s="74"/>
      <c r="V18" s="26">
        <v>162044</v>
      </c>
    </row>
    <row r="19" spans="1:22" ht="15">
      <c r="A19" s="195">
        <v>11</v>
      </c>
      <c r="B19" s="196" t="s">
        <v>187</v>
      </c>
      <c r="C19" s="192">
        <f>'Anne-8'!L38/1000000</f>
        <v>0.053628</v>
      </c>
      <c r="D19" s="181">
        <f>'Anne-7'!L38/1000000</f>
        <v>9.769326</v>
      </c>
      <c r="E19" s="185"/>
      <c r="F19" s="181">
        <f t="shared" si="3"/>
        <v>9.769326</v>
      </c>
      <c r="G19" s="193">
        <f t="shared" si="4"/>
        <v>9.822954</v>
      </c>
      <c r="H19" s="202">
        <f>C19/C22*100</f>
        <v>0.1803514391340629</v>
      </c>
      <c r="I19" s="150">
        <f>D19/$D$22*100</f>
        <v>5.777803934444949</v>
      </c>
      <c r="J19" s="150"/>
      <c r="K19" s="150">
        <f t="shared" si="1"/>
        <v>1.1184335144631816</v>
      </c>
      <c r="L19" s="200">
        <f t="shared" si="2"/>
        <v>1.0875504679532473</v>
      </c>
      <c r="N19" s="74"/>
      <c r="P19" s="180"/>
      <c r="Q19" s="74"/>
      <c r="V19" s="26">
        <v>122573</v>
      </c>
    </row>
    <row r="20" spans="1:17" ht="15">
      <c r="A20" s="195">
        <v>12</v>
      </c>
      <c r="B20" s="196" t="s">
        <v>134</v>
      </c>
      <c r="C20" s="192"/>
      <c r="D20" s="184"/>
      <c r="E20" s="181">
        <f>'Anne-6'!V38/1000000</f>
        <v>32.295872</v>
      </c>
      <c r="F20" s="181">
        <f t="shared" si="3"/>
        <v>32.295872</v>
      </c>
      <c r="G20" s="193">
        <f t="shared" si="4"/>
        <v>32.295872</v>
      </c>
      <c r="H20" s="202"/>
      <c r="I20" s="150"/>
      <c r="J20" s="150">
        <f>E20/$E$22*100</f>
        <v>4.584881838498113</v>
      </c>
      <c r="K20" s="150">
        <f t="shared" si="1"/>
        <v>3.697367210758763</v>
      </c>
      <c r="L20" s="200">
        <f t="shared" si="2"/>
        <v>3.57564442494164</v>
      </c>
      <c r="N20" s="74"/>
      <c r="P20" s="180"/>
      <c r="Q20" s="74"/>
    </row>
    <row r="21" spans="1:17" ht="15">
      <c r="A21" s="209">
        <v>13</v>
      </c>
      <c r="B21" s="210" t="s">
        <v>144</v>
      </c>
      <c r="C21" s="211"/>
      <c r="D21" s="215"/>
      <c r="E21" s="216">
        <f>'Anne-6'!W38/1000000</f>
        <v>2.285177</v>
      </c>
      <c r="F21" s="181">
        <f t="shared" si="3"/>
        <v>2.285177</v>
      </c>
      <c r="G21" s="193">
        <f t="shared" si="4"/>
        <v>2.285177</v>
      </c>
      <c r="H21" s="212"/>
      <c r="I21" s="213"/>
      <c r="J21" s="150">
        <f>E21/$E$22*100</f>
        <v>0.32441503747146383</v>
      </c>
      <c r="K21" s="150">
        <f t="shared" si="1"/>
        <v>0.26161667071816724</v>
      </c>
      <c r="L21" s="200">
        <f t="shared" si="2"/>
        <v>0.25300386377723016</v>
      </c>
      <c r="N21" s="74"/>
      <c r="P21" s="180"/>
      <c r="Q21" s="74"/>
    </row>
    <row r="22" spans="1:16" ht="16.5" thickBot="1">
      <c r="A22" s="197"/>
      <c r="B22" s="198" t="s">
        <v>47</v>
      </c>
      <c r="C22" s="194">
        <f>SUM(C9:C21)</f>
        <v>29.735277</v>
      </c>
      <c r="D22" s="194">
        <f>SUM(D9:D21)</f>
        <v>169.083723</v>
      </c>
      <c r="E22" s="194">
        <f>SUM(E9:E21)</f>
        <v>704.399222</v>
      </c>
      <c r="F22" s="194">
        <f>SUM(F9:F21)</f>
        <v>873.4829450000001</v>
      </c>
      <c r="G22" s="194">
        <f>SUM(G9:G21)</f>
        <v>903.2182219999999</v>
      </c>
      <c r="H22" s="203">
        <f>C22/C22*100</f>
        <v>100</v>
      </c>
      <c r="I22" s="204">
        <f>D22/$D$22*100</f>
        <v>100</v>
      </c>
      <c r="J22" s="204">
        <f>E22/$E$22*100</f>
        <v>100</v>
      </c>
      <c r="K22" s="204">
        <f t="shared" si="1"/>
        <v>100</v>
      </c>
      <c r="L22" s="205">
        <f t="shared" si="2"/>
        <v>100</v>
      </c>
      <c r="N22" s="74"/>
      <c r="P22" s="180"/>
    </row>
    <row r="23" spans="1:14" ht="22.5" customHeight="1">
      <c r="A23" s="187" t="s">
        <v>135</v>
      </c>
      <c r="B23" s="188"/>
      <c r="C23" s="189">
        <f>'Anne-8'!O35/1000000</f>
        <v>23.712418</v>
      </c>
      <c r="D23" s="189">
        <f>'Anne-7'!N35/1000000</f>
        <v>147.499683</v>
      </c>
      <c r="E23" s="189">
        <f>'Anne-6'!Z35/1000000</f>
        <v>656.361952</v>
      </c>
      <c r="F23" s="189">
        <f>E23+D23</f>
        <v>803.861635</v>
      </c>
      <c r="G23" s="189">
        <f>F23+C23</f>
        <v>827.5740529999999</v>
      </c>
      <c r="H23" s="176"/>
      <c r="I23" s="176"/>
      <c r="J23" s="176"/>
      <c r="K23" s="176"/>
      <c r="L23" s="176"/>
      <c r="N23" s="74"/>
    </row>
    <row r="24" ht="15.75" customHeight="1">
      <c r="L24" s="161"/>
    </row>
    <row r="25" spans="1:10" ht="31.5" customHeight="1">
      <c r="A25" s="484" t="s">
        <v>137</v>
      </c>
      <c r="B25" s="477"/>
      <c r="C25" s="179">
        <f>C9/C22*100</f>
        <v>66.89124167230727</v>
      </c>
      <c r="D25" s="179">
        <f>D9/D22*100</f>
        <v>1.5247895860443057</v>
      </c>
      <c r="E25" s="179">
        <f>E9/E22*100</f>
        <v>13.54523770328639</v>
      </c>
      <c r="F25" s="179">
        <f>F9/F22*100</f>
        <v>11.218389616067432</v>
      </c>
      <c r="G25" s="179">
        <f>G9/G22*100</f>
        <v>13.051222077758304</v>
      </c>
      <c r="H25" s="102"/>
      <c r="I25" s="102"/>
      <c r="J25" s="102"/>
    </row>
    <row r="26" spans="1:7" ht="33.75" customHeight="1">
      <c r="A26" s="485" t="s">
        <v>136</v>
      </c>
      <c r="B26" s="486"/>
      <c r="C26" s="179">
        <f>C9/C23*100</f>
        <v>83.88134858283959</v>
      </c>
      <c r="D26" s="179">
        <f>D9/D23*100</f>
        <v>1.7479162989116392</v>
      </c>
      <c r="E26" s="179">
        <f>E9/E23*100</f>
        <v>14.53657524011995</v>
      </c>
      <c r="F26" s="179">
        <f>F9/F23*100</f>
        <v>12.189998344677813</v>
      </c>
      <c r="G26" s="179">
        <f>G9/G23*100</f>
        <v>14.24416528921793</v>
      </c>
    </row>
    <row r="27" spans="10:12" ht="15">
      <c r="J27" s="208"/>
      <c r="K27" s="161"/>
      <c r="L27" s="161"/>
    </row>
    <row r="28" spans="8:12" ht="15">
      <c r="H28" s="161"/>
      <c r="I28" s="161"/>
      <c r="J28" s="161"/>
      <c r="K28" s="161"/>
      <c r="L28" s="161"/>
    </row>
    <row r="30" spans="3:12" ht="15">
      <c r="C30" s="208"/>
      <c r="D30" s="74"/>
      <c r="E30" s="74"/>
      <c r="F30" s="208"/>
      <c r="G30" s="208"/>
      <c r="K30" s="161">
        <f>K17+K18+K19+K20+K21</f>
        <v>5.568351652246628</v>
      </c>
      <c r="L30" s="161">
        <f>L17+L18+L19+L20+L21</f>
        <v>5.4126586254810976</v>
      </c>
    </row>
    <row r="31" spans="3:12" ht="15">
      <c r="C31" s="161">
        <f>C17+C18+C19+C20+C21</f>
        <v>0.24951700000000002</v>
      </c>
      <c r="D31" s="161">
        <f aca="true" t="shared" si="5" ref="D31:L31">D17+D18+D19+D20+D21</f>
        <v>11.188801999999999</v>
      </c>
      <c r="E31" s="161">
        <f t="shared" si="5"/>
        <v>37.4498</v>
      </c>
      <c r="F31" s="161">
        <f t="shared" si="5"/>
        <v>48.638602</v>
      </c>
      <c r="G31" s="161">
        <f t="shared" si="5"/>
        <v>48.888118999999996</v>
      </c>
      <c r="H31" s="161">
        <f t="shared" si="5"/>
        <v>0.8391278816740131</v>
      </c>
      <c r="I31" s="161">
        <f t="shared" si="5"/>
        <v>6.617314666060435</v>
      </c>
      <c r="J31" s="161">
        <f t="shared" si="5"/>
        <v>5.316558966897894</v>
      </c>
      <c r="K31" s="161">
        <f t="shared" si="5"/>
        <v>5.568351652246628</v>
      </c>
      <c r="L31" s="161">
        <f t="shared" si="5"/>
        <v>5.4126586254810976</v>
      </c>
    </row>
    <row r="33" spans="13:16" ht="15">
      <c r="M33" s="180">
        <v>247.24806999999998</v>
      </c>
      <c r="N33" s="180">
        <v>52.985749999999996</v>
      </c>
      <c r="O33" s="180">
        <v>884.2925</v>
      </c>
      <c r="P33" s="180">
        <f>SUM(M33:O33)</f>
        <v>1184.52632</v>
      </c>
    </row>
    <row r="34" spans="3:5" ht="15">
      <c r="C34" s="26">
        <f>C9*10</f>
        <v>198.90296</v>
      </c>
      <c r="D34" s="26">
        <f>D9*10</f>
        <v>25.781710000000004</v>
      </c>
      <c r="E34" s="26">
        <f>E9*10</f>
        <v>954.12549</v>
      </c>
    </row>
    <row r="35" ht="15">
      <c r="G35" s="214"/>
    </row>
  </sheetData>
  <sheetProtection/>
  <mergeCells count="12">
    <mergeCell ref="A25:B25"/>
    <mergeCell ref="A26:B26"/>
    <mergeCell ref="B6:B8"/>
    <mergeCell ref="A6:A8"/>
    <mergeCell ref="C6:G6"/>
    <mergeCell ref="G7:G8"/>
    <mergeCell ref="H7:H8"/>
    <mergeCell ref="H6:L6"/>
    <mergeCell ref="I7:K7"/>
    <mergeCell ref="L7:L8"/>
    <mergeCell ref="D7:F7"/>
    <mergeCell ref="C7:C8"/>
  </mergeCell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4">
      <selection activeCell="W4" sqref="W4:AA4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5" width="10.7109375" style="0" hidden="1" customWidth="1"/>
    <col min="16" max="16" width="11.7109375" style="0" hidden="1" customWidth="1"/>
    <col min="17" max="17" width="12.421875" style="0" hidden="1" customWidth="1"/>
    <col min="18" max="19" width="10.7109375" style="0" hidden="1" customWidth="1"/>
    <col min="20" max="21" width="11.7109375" style="0" hidden="1" customWidth="1"/>
    <col min="22" max="22" width="11.421875" style="0" hidden="1" customWidth="1"/>
    <col min="23" max="23" width="8.8515625" style="0" customWidth="1"/>
    <col min="24" max="24" width="11.00390625" style="0" customWidth="1"/>
    <col min="25" max="25" width="10.8515625" style="0" customWidth="1"/>
    <col min="26" max="26" width="9.7109375" style="0" customWidth="1"/>
    <col min="27" max="27" width="11.421875" style="0" customWidth="1"/>
    <col min="28" max="28" width="9.57421875" style="0" customWidth="1"/>
    <col min="29" max="29" width="9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00390625" style="0" customWidth="1"/>
    <col min="34" max="34" width="7.140625" style="0" customWidth="1"/>
    <col min="35" max="35" width="7.8515625" style="0" customWidth="1"/>
    <col min="36" max="36" width="8.28125" style="0" customWidth="1"/>
    <col min="37" max="37" width="6.28125" style="0" customWidth="1"/>
    <col min="41" max="41" width="9.7109375" style="0" bestFit="1" customWidth="1"/>
    <col min="42" max="43" width="9.28125" style="0" bestFit="1" customWidth="1"/>
  </cols>
  <sheetData>
    <row r="1" spans="1:35" ht="15">
      <c r="A1" s="186" t="s">
        <v>225</v>
      </c>
      <c r="AI1" s="76" t="s">
        <v>115</v>
      </c>
    </row>
    <row r="2" ht="13.5" thickBot="1">
      <c r="A2" s="186"/>
    </row>
    <row r="3" spans="1:37" ht="12.75" customHeight="1" thickBot="1">
      <c r="A3" s="508" t="s">
        <v>19</v>
      </c>
      <c r="B3" s="511" t="s">
        <v>20</v>
      </c>
      <c r="C3" s="514" t="s">
        <v>147</v>
      </c>
      <c r="D3" s="515"/>
      <c r="E3" s="515"/>
      <c r="F3" s="515"/>
      <c r="G3" s="515"/>
      <c r="H3" s="515"/>
      <c r="I3" s="515"/>
      <c r="J3" s="515"/>
      <c r="K3" s="515"/>
      <c r="L3" s="515"/>
      <c r="M3" s="516" t="s">
        <v>148</v>
      </c>
      <c r="N3" s="515"/>
      <c r="O3" s="515"/>
      <c r="P3" s="515"/>
      <c r="Q3" s="515"/>
      <c r="R3" s="515"/>
      <c r="S3" s="515"/>
      <c r="T3" s="515"/>
      <c r="U3" s="515"/>
      <c r="V3" s="517"/>
      <c r="W3" s="491" t="s">
        <v>226</v>
      </c>
      <c r="X3" s="492"/>
      <c r="Y3" s="492"/>
      <c r="Z3" s="492"/>
      <c r="AA3" s="492"/>
      <c r="AB3" s="492"/>
      <c r="AC3" s="492"/>
      <c r="AD3" s="492"/>
      <c r="AE3" s="492"/>
      <c r="AF3" s="493"/>
      <c r="AG3" s="494" t="s">
        <v>153</v>
      </c>
      <c r="AH3" s="495"/>
      <c r="AI3" s="495"/>
      <c r="AJ3" s="495"/>
      <c r="AK3" s="496"/>
    </row>
    <row r="4" spans="1:37" ht="12.75" customHeight="1">
      <c r="A4" s="509"/>
      <c r="B4" s="512"/>
      <c r="C4" s="500" t="s">
        <v>190</v>
      </c>
      <c r="D4" s="501"/>
      <c r="E4" s="501"/>
      <c r="F4" s="501"/>
      <c r="G4" s="502"/>
      <c r="H4" s="503" t="s">
        <v>219</v>
      </c>
      <c r="I4" s="501"/>
      <c r="J4" s="501"/>
      <c r="K4" s="501"/>
      <c r="L4" s="502"/>
      <c r="M4" s="503" t="s">
        <v>190</v>
      </c>
      <c r="N4" s="501"/>
      <c r="O4" s="501"/>
      <c r="P4" s="501"/>
      <c r="Q4" s="502"/>
      <c r="R4" s="503" t="s">
        <v>219</v>
      </c>
      <c r="S4" s="501"/>
      <c r="T4" s="501"/>
      <c r="U4" s="501"/>
      <c r="V4" s="504"/>
      <c r="W4" s="505" t="s">
        <v>150</v>
      </c>
      <c r="X4" s="506"/>
      <c r="Y4" s="506"/>
      <c r="Z4" s="506"/>
      <c r="AA4" s="506"/>
      <c r="AB4" s="506" t="s">
        <v>151</v>
      </c>
      <c r="AC4" s="506"/>
      <c r="AD4" s="506"/>
      <c r="AE4" s="506"/>
      <c r="AF4" s="507"/>
      <c r="AG4" s="497"/>
      <c r="AH4" s="498"/>
      <c r="AI4" s="498"/>
      <c r="AJ4" s="498"/>
      <c r="AK4" s="499"/>
    </row>
    <row r="5" spans="1:37" ht="12.75" customHeight="1">
      <c r="A5" s="509"/>
      <c r="B5" s="512"/>
      <c r="C5" s="521" t="s">
        <v>152</v>
      </c>
      <c r="D5" s="518" t="s">
        <v>139</v>
      </c>
      <c r="E5" s="518"/>
      <c r="F5" s="518"/>
      <c r="G5" s="519" t="s">
        <v>47</v>
      </c>
      <c r="H5" s="520" t="s">
        <v>152</v>
      </c>
      <c r="I5" s="518" t="s">
        <v>139</v>
      </c>
      <c r="J5" s="518"/>
      <c r="K5" s="518"/>
      <c r="L5" s="519" t="s">
        <v>47</v>
      </c>
      <c r="M5" s="520" t="s">
        <v>152</v>
      </c>
      <c r="N5" s="518" t="s">
        <v>139</v>
      </c>
      <c r="O5" s="518"/>
      <c r="P5" s="518"/>
      <c r="Q5" s="519" t="s">
        <v>47</v>
      </c>
      <c r="R5" s="520" t="s">
        <v>152</v>
      </c>
      <c r="S5" s="518" t="s">
        <v>139</v>
      </c>
      <c r="T5" s="518"/>
      <c r="U5" s="518"/>
      <c r="V5" s="524" t="s">
        <v>47</v>
      </c>
      <c r="W5" s="522" t="s">
        <v>176</v>
      </c>
      <c r="X5" s="518" t="s">
        <v>139</v>
      </c>
      <c r="Y5" s="518"/>
      <c r="Z5" s="518"/>
      <c r="AA5" s="518" t="s">
        <v>47</v>
      </c>
      <c r="AB5" s="527" t="s">
        <v>176</v>
      </c>
      <c r="AC5" s="518" t="s">
        <v>139</v>
      </c>
      <c r="AD5" s="518"/>
      <c r="AE5" s="518"/>
      <c r="AF5" s="519" t="s">
        <v>47</v>
      </c>
      <c r="AG5" s="522" t="s">
        <v>176</v>
      </c>
      <c r="AH5" s="518" t="s">
        <v>139</v>
      </c>
      <c r="AI5" s="518"/>
      <c r="AJ5" s="518"/>
      <c r="AK5" s="519" t="s">
        <v>47</v>
      </c>
    </row>
    <row r="6" spans="1:37" ht="12.75" customHeight="1" thickBot="1">
      <c r="A6" s="510"/>
      <c r="B6" s="513"/>
      <c r="C6" s="521"/>
      <c r="D6" s="95" t="s">
        <v>131</v>
      </c>
      <c r="E6" s="95" t="s">
        <v>138</v>
      </c>
      <c r="F6" s="95" t="s">
        <v>47</v>
      </c>
      <c r="G6" s="519"/>
      <c r="H6" s="520"/>
      <c r="I6" s="95" t="s">
        <v>131</v>
      </c>
      <c r="J6" s="95" t="s">
        <v>138</v>
      </c>
      <c r="K6" s="95" t="s">
        <v>47</v>
      </c>
      <c r="L6" s="519"/>
      <c r="M6" s="520"/>
      <c r="N6" s="95" t="s">
        <v>131</v>
      </c>
      <c r="O6" s="95" t="s">
        <v>138</v>
      </c>
      <c r="P6" s="95" t="s">
        <v>47</v>
      </c>
      <c r="Q6" s="519"/>
      <c r="R6" s="520"/>
      <c r="S6" s="95" t="s">
        <v>131</v>
      </c>
      <c r="T6" s="95" t="s">
        <v>138</v>
      </c>
      <c r="U6" s="95" t="s">
        <v>47</v>
      </c>
      <c r="V6" s="524"/>
      <c r="W6" s="523"/>
      <c r="X6" s="241" t="s">
        <v>131</v>
      </c>
      <c r="Y6" s="241" t="s">
        <v>138</v>
      </c>
      <c r="Z6" s="241" t="s">
        <v>47</v>
      </c>
      <c r="AA6" s="526"/>
      <c r="AB6" s="526"/>
      <c r="AC6" s="241" t="s">
        <v>131</v>
      </c>
      <c r="AD6" s="241" t="s">
        <v>138</v>
      </c>
      <c r="AE6" s="241" t="s">
        <v>47</v>
      </c>
      <c r="AF6" s="525"/>
      <c r="AG6" s="523"/>
      <c r="AH6" s="241" t="s">
        <v>131</v>
      </c>
      <c r="AI6" s="241" t="s">
        <v>138</v>
      </c>
      <c r="AJ6" s="241" t="s">
        <v>47</v>
      </c>
      <c r="AK6" s="525"/>
    </row>
    <row r="7" spans="1:37" ht="18" customHeight="1">
      <c r="A7" s="250">
        <v>1</v>
      </c>
      <c r="B7" s="251" t="s">
        <v>21</v>
      </c>
      <c r="C7" s="225"/>
      <c r="D7" s="106"/>
      <c r="E7" s="218"/>
      <c r="F7" s="218"/>
      <c r="G7" s="230"/>
      <c r="H7" s="229"/>
      <c r="I7" s="106"/>
      <c r="J7" s="106"/>
      <c r="K7" s="106"/>
      <c r="L7" s="230"/>
      <c r="M7" s="229"/>
      <c r="N7" s="106"/>
      <c r="O7" s="95"/>
      <c r="P7" s="95"/>
      <c r="Q7" s="238"/>
      <c r="R7" s="240"/>
      <c r="S7" s="95"/>
      <c r="T7" s="95"/>
      <c r="U7" s="95"/>
      <c r="V7" s="238"/>
      <c r="W7" s="242"/>
      <c r="X7" s="226"/>
      <c r="Y7" s="226"/>
      <c r="Z7" s="226"/>
      <c r="AA7" s="227"/>
      <c r="AB7" s="242"/>
      <c r="AC7" s="226"/>
      <c r="AD7" s="226"/>
      <c r="AE7" s="226"/>
      <c r="AF7" s="227"/>
      <c r="AG7" s="242"/>
      <c r="AH7" s="226"/>
      <c r="AI7" s="226"/>
      <c r="AJ7" s="226"/>
      <c r="AK7" s="227"/>
    </row>
    <row r="8" spans="1:43" ht="18" customHeight="1">
      <c r="A8" s="246">
        <v>2</v>
      </c>
      <c r="B8" s="247" t="s">
        <v>22</v>
      </c>
      <c r="C8" s="220">
        <v>2239333</v>
      </c>
      <c r="D8" s="219">
        <v>13695960</v>
      </c>
      <c r="E8" s="220">
        <v>50667662</v>
      </c>
      <c r="F8" s="219">
        <v>64363622</v>
      </c>
      <c r="G8" s="232">
        <v>66602955</v>
      </c>
      <c r="H8" s="231">
        <f>'Anne-8'!O10</f>
        <v>2186275</v>
      </c>
      <c r="I8" s="219">
        <f>'Anne-7'!N10</f>
        <v>13513368</v>
      </c>
      <c r="J8" s="219">
        <f>'Anne-6'!Z10</f>
        <v>51575391</v>
      </c>
      <c r="K8" s="219">
        <f>SUM(I8:J8)</f>
        <v>65088759</v>
      </c>
      <c r="L8" s="232">
        <f>K8+H8</f>
        <v>67275034</v>
      </c>
      <c r="M8" s="231">
        <v>1848510</v>
      </c>
      <c r="N8" s="219">
        <v>90141</v>
      </c>
      <c r="O8" s="221">
        <v>9290023</v>
      </c>
      <c r="P8" s="219">
        <v>9380164</v>
      </c>
      <c r="Q8" s="232">
        <v>11228674</v>
      </c>
      <c r="R8" s="231">
        <f>'Anne-8'!D10</f>
        <v>1800852</v>
      </c>
      <c r="S8" s="219">
        <f>'Anne-7'!F10</f>
        <v>87786</v>
      </c>
      <c r="T8" s="219">
        <f>'Anne-6'!D10</f>
        <v>9362687</v>
      </c>
      <c r="U8" s="219">
        <f>SUM(S8:T8)</f>
        <v>9450473</v>
      </c>
      <c r="V8" s="232">
        <f>U8+R8</f>
        <v>11251325</v>
      </c>
      <c r="W8" s="231">
        <f>H8-C8</f>
        <v>-53058</v>
      </c>
      <c r="X8" s="219">
        <f>I8-D8</f>
        <v>-182592</v>
      </c>
      <c r="Y8" s="219">
        <f>J8-E8</f>
        <v>907729</v>
      </c>
      <c r="Z8" s="219">
        <f>SUM(X8:Y8)</f>
        <v>725137</v>
      </c>
      <c r="AA8" s="232">
        <f>Z8+W8</f>
        <v>672079</v>
      </c>
      <c r="AB8" s="231">
        <f>R8-M8</f>
        <v>-47658</v>
      </c>
      <c r="AC8" s="219">
        <f>S8-N8</f>
        <v>-2355</v>
      </c>
      <c r="AD8" s="219">
        <f>T8-O8</f>
        <v>72664</v>
      </c>
      <c r="AE8" s="219">
        <f>SUM(AC8:AD8)</f>
        <v>70309</v>
      </c>
      <c r="AF8" s="232">
        <f>AE8+AB8</f>
        <v>22651</v>
      </c>
      <c r="AG8" s="239">
        <f>-(AB8)/W8*100</f>
        <v>-89.8224584417053</v>
      </c>
      <c r="AH8" s="218">
        <f>AC8/X8*100</f>
        <v>1.289760778128286</v>
      </c>
      <c r="AI8" s="218">
        <f>AD8/Y8*100</f>
        <v>8.005032338946977</v>
      </c>
      <c r="AJ8" s="218">
        <f>AE8/Z8*100</f>
        <v>9.695960901181431</v>
      </c>
      <c r="AK8" s="243">
        <f>AF8/AA8*100</f>
        <v>3.370288314320192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246">
        <v>3</v>
      </c>
      <c r="B9" s="247" t="s">
        <v>23</v>
      </c>
      <c r="C9" s="220">
        <v>194155</v>
      </c>
      <c r="D9" s="219">
        <v>91663</v>
      </c>
      <c r="E9" s="220">
        <v>14296001</v>
      </c>
      <c r="F9" s="219">
        <v>14387664</v>
      </c>
      <c r="G9" s="232">
        <v>14581819</v>
      </c>
      <c r="H9" s="231">
        <f>'Anne-8'!O11</f>
        <v>193344</v>
      </c>
      <c r="I9" s="219">
        <f>'Anne-7'!N11</f>
        <v>92361</v>
      </c>
      <c r="J9" s="219">
        <f>'Anne-6'!Z11</f>
        <v>14647971</v>
      </c>
      <c r="K9" s="219">
        <f aca="true" t="shared" si="0" ref="K9:K35">SUM(I9:J9)</f>
        <v>14740332</v>
      </c>
      <c r="L9" s="232">
        <f aca="true" t="shared" si="1" ref="L9:L35">K9+H9</f>
        <v>14933676</v>
      </c>
      <c r="M9" s="231">
        <v>193915</v>
      </c>
      <c r="N9" s="219">
        <v>91663</v>
      </c>
      <c r="O9" s="221">
        <v>1144499</v>
      </c>
      <c r="P9" s="219">
        <v>1236162</v>
      </c>
      <c r="Q9" s="232">
        <v>1430077</v>
      </c>
      <c r="R9" s="231">
        <f>'Anne-8'!D11</f>
        <v>192684</v>
      </c>
      <c r="S9" s="219">
        <f>'Anne-7'!F11</f>
        <v>92361</v>
      </c>
      <c r="T9" s="219">
        <f>'Anne-6'!D11</f>
        <v>1131452</v>
      </c>
      <c r="U9" s="219">
        <f aca="true" t="shared" si="2" ref="U9:U32">SUM(S9:T9)</f>
        <v>1223813</v>
      </c>
      <c r="V9" s="232">
        <f aca="true" t="shared" si="3" ref="V9:V32">U9+R9</f>
        <v>1416497</v>
      </c>
      <c r="W9" s="231">
        <f aca="true" t="shared" si="4" ref="W9:Y35">H9-C9</f>
        <v>-811</v>
      </c>
      <c r="X9" s="219">
        <f t="shared" si="4"/>
        <v>698</v>
      </c>
      <c r="Y9" s="219">
        <f t="shared" si="4"/>
        <v>351970</v>
      </c>
      <c r="Z9" s="219">
        <f aca="true" t="shared" si="5" ref="Z9:Z32">SUM(X9:Y9)</f>
        <v>352668</v>
      </c>
      <c r="AA9" s="232">
        <f aca="true" t="shared" si="6" ref="AA9:AA32">Z9+W9</f>
        <v>351857</v>
      </c>
      <c r="AB9" s="231">
        <f aca="true" t="shared" si="7" ref="AB9:AD32">R9-M9</f>
        <v>-1231</v>
      </c>
      <c r="AC9" s="219">
        <f t="shared" si="7"/>
        <v>698</v>
      </c>
      <c r="AD9" s="219">
        <f t="shared" si="7"/>
        <v>-13047</v>
      </c>
      <c r="AE9" s="219">
        <f aca="true" t="shared" si="8" ref="AE9:AE32">SUM(AC9:AD9)</f>
        <v>-12349</v>
      </c>
      <c r="AF9" s="232">
        <f aca="true" t="shared" si="9" ref="AF9:AF32">AE9+AB9</f>
        <v>-13580</v>
      </c>
      <c r="AG9" s="239">
        <f aca="true" t="shared" si="10" ref="AG9:AG36">-(AB9)/W9*100</f>
        <v>-151.78791615289765</v>
      </c>
      <c r="AH9" s="218">
        <f aca="true" t="shared" si="11" ref="AH9:AK36">AC9/X9*100</f>
        <v>100</v>
      </c>
      <c r="AI9" s="218">
        <f t="shared" si="11"/>
        <v>-3.706850015626332</v>
      </c>
      <c r="AJ9" s="218">
        <f t="shared" si="11"/>
        <v>-3.501593566754001</v>
      </c>
      <c r="AK9" s="418" t="s">
        <v>130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246">
        <v>4</v>
      </c>
      <c r="B10" s="247" t="s">
        <v>24</v>
      </c>
      <c r="C10" s="220">
        <v>394129</v>
      </c>
      <c r="D10" s="219">
        <v>7510011</v>
      </c>
      <c r="E10" s="220">
        <v>52791848</v>
      </c>
      <c r="F10" s="219">
        <v>60301859</v>
      </c>
      <c r="G10" s="232">
        <v>60695988</v>
      </c>
      <c r="H10" s="231">
        <f>'Anne-8'!O12</f>
        <v>391269</v>
      </c>
      <c r="I10" s="219">
        <f>'Anne-7'!N12</f>
        <v>7823556</v>
      </c>
      <c r="J10" s="219">
        <f>'Anne-6'!Z12</f>
        <v>52188798</v>
      </c>
      <c r="K10" s="219">
        <f t="shared" si="0"/>
        <v>60012354</v>
      </c>
      <c r="L10" s="232">
        <f t="shared" si="1"/>
        <v>60403623</v>
      </c>
      <c r="M10" s="231">
        <v>378374</v>
      </c>
      <c r="N10" s="219">
        <v>216532</v>
      </c>
      <c r="O10" s="221">
        <v>5690559</v>
      </c>
      <c r="P10" s="219">
        <v>5907091</v>
      </c>
      <c r="Q10" s="232">
        <v>6285465</v>
      </c>
      <c r="R10" s="231">
        <f>'Anne-8'!D12</f>
        <v>374935</v>
      </c>
      <c r="S10" s="219">
        <f>'Anne-7'!F12</f>
        <v>213878</v>
      </c>
      <c r="T10" s="219">
        <f>'Anne-6'!D12</f>
        <v>3607702</v>
      </c>
      <c r="U10" s="219">
        <f t="shared" si="2"/>
        <v>3821580</v>
      </c>
      <c r="V10" s="232">
        <f t="shared" si="3"/>
        <v>4196515</v>
      </c>
      <c r="W10" s="231">
        <f t="shared" si="4"/>
        <v>-2860</v>
      </c>
      <c r="X10" s="219">
        <f t="shared" si="4"/>
        <v>313545</v>
      </c>
      <c r="Y10" s="219">
        <f t="shared" si="4"/>
        <v>-603050</v>
      </c>
      <c r="Z10" s="219">
        <f t="shared" si="5"/>
        <v>-289505</v>
      </c>
      <c r="AA10" s="232">
        <f t="shared" si="6"/>
        <v>-292365</v>
      </c>
      <c r="AB10" s="231">
        <f t="shared" si="7"/>
        <v>-3439</v>
      </c>
      <c r="AC10" s="219">
        <f t="shared" si="7"/>
        <v>-2654</v>
      </c>
      <c r="AD10" s="219">
        <f t="shared" si="7"/>
        <v>-2082857</v>
      </c>
      <c r="AE10" s="219">
        <f t="shared" si="8"/>
        <v>-2085511</v>
      </c>
      <c r="AF10" s="232">
        <f t="shared" si="9"/>
        <v>-2088950</v>
      </c>
      <c r="AG10" s="239">
        <f t="shared" si="10"/>
        <v>-120.24475524475524</v>
      </c>
      <c r="AH10" s="218">
        <f t="shared" si="11"/>
        <v>-0.8464494729624137</v>
      </c>
      <c r="AI10" s="218">
        <f t="shared" si="11"/>
        <v>345.38711549622747</v>
      </c>
      <c r="AJ10" s="218">
        <f t="shared" si="11"/>
        <v>720.3713234659159</v>
      </c>
      <c r="AK10" s="243">
        <f t="shared" si="11"/>
        <v>714.5007097292768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246">
        <v>5</v>
      </c>
      <c r="B11" s="247" t="s">
        <v>25</v>
      </c>
      <c r="C11" s="220">
        <v>0</v>
      </c>
      <c r="D11" s="219">
        <v>0</v>
      </c>
      <c r="E11" s="220">
        <v>0</v>
      </c>
      <c r="F11" s="219">
        <v>0</v>
      </c>
      <c r="G11" s="232">
        <v>0</v>
      </c>
      <c r="H11" s="231">
        <f>'Anne-8'!O13</f>
        <v>0</v>
      </c>
      <c r="I11" s="219">
        <f>'Anne-7'!N13</f>
        <v>0</v>
      </c>
      <c r="J11" s="219">
        <f>'Anne-6'!Z13</f>
        <v>0</v>
      </c>
      <c r="K11" s="219">
        <f t="shared" si="0"/>
        <v>0</v>
      </c>
      <c r="L11" s="232">
        <f t="shared" si="1"/>
        <v>0</v>
      </c>
      <c r="M11" s="231">
        <v>0</v>
      </c>
      <c r="N11" s="219">
        <v>0</v>
      </c>
      <c r="O11" s="221">
        <v>0</v>
      </c>
      <c r="P11" s="219">
        <v>0</v>
      </c>
      <c r="Q11" s="232">
        <v>0</v>
      </c>
      <c r="R11" s="231">
        <f>'Anne-8'!D13</f>
        <v>0</v>
      </c>
      <c r="S11" s="219">
        <f>'Anne-7'!F13</f>
        <v>0</v>
      </c>
      <c r="T11" s="219">
        <f>'Anne-6'!D13</f>
        <v>0</v>
      </c>
      <c r="U11" s="219">
        <f t="shared" si="2"/>
        <v>0</v>
      </c>
      <c r="V11" s="232">
        <f t="shared" si="3"/>
        <v>0</v>
      </c>
      <c r="W11" s="231">
        <f t="shared" si="4"/>
        <v>0</v>
      </c>
      <c r="X11" s="219">
        <f t="shared" si="4"/>
        <v>0</v>
      </c>
      <c r="Y11" s="219">
        <f t="shared" si="4"/>
        <v>0</v>
      </c>
      <c r="Z11" s="219">
        <f t="shared" si="5"/>
        <v>0</v>
      </c>
      <c r="AA11" s="232">
        <f t="shared" si="6"/>
        <v>0</v>
      </c>
      <c r="AB11" s="231">
        <f t="shared" si="7"/>
        <v>0</v>
      </c>
      <c r="AC11" s="219">
        <f t="shared" si="7"/>
        <v>0</v>
      </c>
      <c r="AD11" s="219">
        <f t="shared" si="7"/>
        <v>0</v>
      </c>
      <c r="AE11" s="219">
        <f t="shared" si="8"/>
        <v>0</v>
      </c>
      <c r="AF11" s="232">
        <f t="shared" si="9"/>
        <v>0</v>
      </c>
      <c r="AG11" s="239"/>
      <c r="AH11" s="218"/>
      <c r="AI11" s="218"/>
      <c r="AJ11" s="218"/>
      <c r="AK11" s="243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246">
        <v>6</v>
      </c>
      <c r="B12" s="247" t="s">
        <v>26</v>
      </c>
      <c r="C12" s="220">
        <v>1792000</v>
      </c>
      <c r="D12" s="219">
        <v>10143980</v>
      </c>
      <c r="E12" s="220">
        <v>41549384</v>
      </c>
      <c r="F12" s="219">
        <v>51693364</v>
      </c>
      <c r="G12" s="232">
        <v>53485364</v>
      </c>
      <c r="H12" s="231">
        <f>'Anne-8'!O14</f>
        <v>1746102</v>
      </c>
      <c r="I12" s="219">
        <f>'Anne-7'!N14</f>
        <v>10131268</v>
      </c>
      <c r="J12" s="219">
        <f>'Anne-6'!Z14</f>
        <v>41830018</v>
      </c>
      <c r="K12" s="219">
        <f t="shared" si="0"/>
        <v>51961286</v>
      </c>
      <c r="L12" s="232">
        <f t="shared" si="1"/>
        <v>53707388</v>
      </c>
      <c r="M12" s="231">
        <v>1565727</v>
      </c>
      <c r="N12" s="219">
        <v>119315</v>
      </c>
      <c r="O12" s="221">
        <v>4179707</v>
      </c>
      <c r="P12" s="219">
        <v>4299022</v>
      </c>
      <c r="Q12" s="232">
        <v>5864749</v>
      </c>
      <c r="R12" s="231">
        <f>'Anne-8'!D14</f>
        <v>1520502</v>
      </c>
      <c r="S12" s="219">
        <f>'Anne-7'!F14</f>
        <v>115359</v>
      </c>
      <c r="T12" s="219">
        <f>'Anne-6'!D14</f>
        <v>4197018</v>
      </c>
      <c r="U12" s="219">
        <f t="shared" si="2"/>
        <v>4312377</v>
      </c>
      <c r="V12" s="232">
        <f t="shared" si="3"/>
        <v>5832879</v>
      </c>
      <c r="W12" s="231">
        <f t="shared" si="4"/>
        <v>-45898</v>
      </c>
      <c r="X12" s="219">
        <f t="shared" si="4"/>
        <v>-12712</v>
      </c>
      <c r="Y12" s="219">
        <f t="shared" si="4"/>
        <v>280634</v>
      </c>
      <c r="Z12" s="219">
        <f t="shared" si="5"/>
        <v>267922</v>
      </c>
      <c r="AA12" s="232">
        <f t="shared" si="6"/>
        <v>222024</v>
      </c>
      <c r="AB12" s="231">
        <f t="shared" si="7"/>
        <v>-45225</v>
      </c>
      <c r="AC12" s="219">
        <f t="shared" si="7"/>
        <v>-3956</v>
      </c>
      <c r="AD12" s="219">
        <f t="shared" si="7"/>
        <v>17311</v>
      </c>
      <c r="AE12" s="219">
        <f t="shared" si="8"/>
        <v>13355</v>
      </c>
      <c r="AF12" s="232">
        <f t="shared" si="9"/>
        <v>-31870</v>
      </c>
      <c r="AG12" s="239">
        <f t="shared" si="10"/>
        <v>-98.53370517233866</v>
      </c>
      <c r="AH12" s="218">
        <f t="shared" si="11"/>
        <v>31.120201384518566</v>
      </c>
      <c r="AI12" s="218">
        <f t="shared" si="11"/>
        <v>6.168532679575533</v>
      </c>
      <c r="AJ12" s="218">
        <f t="shared" si="11"/>
        <v>4.984659714394487</v>
      </c>
      <c r="AK12" s="243">
        <f t="shared" si="11"/>
        <v>-14.354304039202969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246">
        <v>7</v>
      </c>
      <c r="B13" s="247" t="s">
        <v>27</v>
      </c>
      <c r="C13" s="220">
        <v>560474</v>
      </c>
      <c r="D13" s="219">
        <v>4934119</v>
      </c>
      <c r="E13" s="220">
        <v>14609470</v>
      </c>
      <c r="F13" s="219">
        <v>19543589</v>
      </c>
      <c r="G13" s="232">
        <v>20104063</v>
      </c>
      <c r="H13" s="231">
        <f>'Anne-8'!O15</f>
        <v>539786</v>
      </c>
      <c r="I13" s="219">
        <f>'Anne-7'!N15</f>
        <v>5128461</v>
      </c>
      <c r="J13" s="219">
        <f>'Anne-6'!Z15</f>
        <v>14785096</v>
      </c>
      <c r="K13" s="219">
        <f t="shared" si="0"/>
        <v>19913557</v>
      </c>
      <c r="L13" s="232">
        <f t="shared" si="1"/>
        <v>20453343</v>
      </c>
      <c r="M13" s="231">
        <v>504057</v>
      </c>
      <c r="N13" s="219">
        <v>20731</v>
      </c>
      <c r="O13" s="221">
        <v>3089520</v>
      </c>
      <c r="P13" s="219">
        <v>3110251</v>
      </c>
      <c r="Q13" s="232">
        <v>3614308</v>
      </c>
      <c r="R13" s="231">
        <f>'Anne-8'!D15</f>
        <v>485272</v>
      </c>
      <c r="S13" s="219">
        <f>'Anne-7'!F15</f>
        <v>19446</v>
      </c>
      <c r="T13" s="219">
        <f>'Anne-6'!D15</f>
        <v>3063076</v>
      </c>
      <c r="U13" s="219">
        <f t="shared" si="2"/>
        <v>3082522</v>
      </c>
      <c r="V13" s="232">
        <f t="shared" si="3"/>
        <v>3567794</v>
      </c>
      <c r="W13" s="231">
        <f t="shared" si="4"/>
        <v>-20688</v>
      </c>
      <c r="X13" s="219">
        <f t="shared" si="4"/>
        <v>194342</v>
      </c>
      <c r="Y13" s="219">
        <f t="shared" si="4"/>
        <v>175626</v>
      </c>
      <c r="Z13" s="219">
        <f t="shared" si="5"/>
        <v>369968</v>
      </c>
      <c r="AA13" s="232">
        <f t="shared" si="6"/>
        <v>349280</v>
      </c>
      <c r="AB13" s="231">
        <f t="shared" si="7"/>
        <v>-18785</v>
      </c>
      <c r="AC13" s="219">
        <f t="shared" si="7"/>
        <v>-1285</v>
      </c>
      <c r="AD13" s="219">
        <f t="shared" si="7"/>
        <v>-26444</v>
      </c>
      <c r="AE13" s="219">
        <f t="shared" si="8"/>
        <v>-27729</v>
      </c>
      <c r="AF13" s="232">
        <f t="shared" si="9"/>
        <v>-46514</v>
      </c>
      <c r="AG13" s="239">
        <f>-(AB13)/W13*100</f>
        <v>-90.80143078112916</v>
      </c>
      <c r="AH13" s="218">
        <f t="shared" si="11"/>
        <v>-0.6612055036996635</v>
      </c>
      <c r="AI13" s="218">
        <f t="shared" si="11"/>
        <v>-15.056996116748088</v>
      </c>
      <c r="AJ13" s="218">
        <f t="shared" si="11"/>
        <v>-7.494972538165463</v>
      </c>
      <c r="AK13" s="418" t="s">
        <v>130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246">
        <v>8</v>
      </c>
      <c r="B14" s="247" t="s">
        <v>28</v>
      </c>
      <c r="C14" s="220">
        <v>280669</v>
      </c>
      <c r="D14" s="219">
        <v>235471</v>
      </c>
      <c r="E14" s="220">
        <v>6779872</v>
      </c>
      <c r="F14" s="219">
        <v>7015343</v>
      </c>
      <c r="G14" s="232">
        <v>7296012</v>
      </c>
      <c r="H14" s="231">
        <f>'Anne-8'!O16</f>
        <v>269948</v>
      </c>
      <c r="I14" s="219">
        <f>'Anne-7'!N16</f>
        <v>222736</v>
      </c>
      <c r="J14" s="219">
        <f>'Anne-6'!Z16</f>
        <v>6789401</v>
      </c>
      <c r="K14" s="219">
        <f t="shared" si="0"/>
        <v>7012137</v>
      </c>
      <c r="L14" s="232">
        <f t="shared" si="1"/>
        <v>7282085</v>
      </c>
      <c r="M14" s="231">
        <v>273941</v>
      </c>
      <c r="N14" s="219">
        <v>57959</v>
      </c>
      <c r="O14" s="221">
        <v>1576204</v>
      </c>
      <c r="P14" s="219">
        <v>1634163</v>
      </c>
      <c r="Q14" s="232">
        <v>1908104</v>
      </c>
      <c r="R14" s="231">
        <f>'Anne-8'!D16</f>
        <v>262945</v>
      </c>
      <c r="S14" s="219">
        <f>'Anne-7'!F16</f>
        <v>55806</v>
      </c>
      <c r="T14" s="219">
        <f>'Anne-6'!D16</f>
        <v>1487825</v>
      </c>
      <c r="U14" s="219">
        <f t="shared" si="2"/>
        <v>1543631</v>
      </c>
      <c r="V14" s="232">
        <f t="shared" si="3"/>
        <v>1806576</v>
      </c>
      <c r="W14" s="231">
        <f t="shared" si="4"/>
        <v>-10721</v>
      </c>
      <c r="X14" s="219">
        <f t="shared" si="4"/>
        <v>-12735</v>
      </c>
      <c r="Y14" s="219">
        <f t="shared" si="4"/>
        <v>9529</v>
      </c>
      <c r="Z14" s="219">
        <f t="shared" si="5"/>
        <v>-3206</v>
      </c>
      <c r="AA14" s="232">
        <f t="shared" si="6"/>
        <v>-13927</v>
      </c>
      <c r="AB14" s="231">
        <f t="shared" si="7"/>
        <v>-10996</v>
      </c>
      <c r="AC14" s="219">
        <f t="shared" si="7"/>
        <v>-2153</v>
      </c>
      <c r="AD14" s="219">
        <f t="shared" si="7"/>
        <v>-88379</v>
      </c>
      <c r="AE14" s="219">
        <f t="shared" si="8"/>
        <v>-90532</v>
      </c>
      <c r="AF14" s="232">
        <f t="shared" si="9"/>
        <v>-101528</v>
      </c>
      <c r="AG14" s="239">
        <f t="shared" si="10"/>
        <v>-102.56505922954948</v>
      </c>
      <c r="AH14" s="218">
        <f t="shared" si="11"/>
        <v>16.90616411464468</v>
      </c>
      <c r="AI14" s="218">
        <f t="shared" si="11"/>
        <v>-927.4740266554728</v>
      </c>
      <c r="AJ14" s="218">
        <f t="shared" si="11"/>
        <v>2823.830318153462</v>
      </c>
      <c r="AK14" s="457" t="s">
        <v>130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246">
        <v>9</v>
      </c>
      <c r="B15" s="247" t="s">
        <v>29</v>
      </c>
      <c r="C15" s="220">
        <v>196811</v>
      </c>
      <c r="D15" s="219">
        <v>694581</v>
      </c>
      <c r="E15" s="220">
        <v>6150026</v>
      </c>
      <c r="F15" s="219">
        <v>6844607</v>
      </c>
      <c r="G15" s="232">
        <v>7041418</v>
      </c>
      <c r="H15" s="231">
        <f>'Anne-8'!O17</f>
        <v>193864</v>
      </c>
      <c r="I15" s="219">
        <f>'Anne-7'!N17</f>
        <v>713014</v>
      </c>
      <c r="J15" s="219">
        <f>'Anne-6'!Z17</f>
        <v>6436723</v>
      </c>
      <c r="K15" s="219">
        <f t="shared" si="0"/>
        <v>7149737</v>
      </c>
      <c r="L15" s="232">
        <f t="shared" si="1"/>
        <v>7343601</v>
      </c>
      <c r="M15" s="231">
        <v>196811</v>
      </c>
      <c r="N15" s="219">
        <v>69668</v>
      </c>
      <c r="O15" s="221">
        <v>1089835</v>
      </c>
      <c r="P15" s="219">
        <v>1159503</v>
      </c>
      <c r="Q15" s="232">
        <v>1356314</v>
      </c>
      <c r="R15" s="231">
        <f>'Anne-8'!D17</f>
        <v>193864</v>
      </c>
      <c r="S15" s="219">
        <f>'Anne-7'!F17</f>
        <v>67095</v>
      </c>
      <c r="T15" s="219">
        <f>'Anne-6'!D17</f>
        <v>1131018</v>
      </c>
      <c r="U15" s="219">
        <f t="shared" si="2"/>
        <v>1198113</v>
      </c>
      <c r="V15" s="232">
        <f t="shared" si="3"/>
        <v>1391977</v>
      </c>
      <c r="W15" s="231">
        <f t="shared" si="4"/>
        <v>-2947</v>
      </c>
      <c r="X15" s="219">
        <f t="shared" si="4"/>
        <v>18433</v>
      </c>
      <c r="Y15" s="219">
        <f t="shared" si="4"/>
        <v>286697</v>
      </c>
      <c r="Z15" s="219">
        <f t="shared" si="5"/>
        <v>305130</v>
      </c>
      <c r="AA15" s="232">
        <f t="shared" si="6"/>
        <v>302183</v>
      </c>
      <c r="AB15" s="231">
        <f t="shared" si="7"/>
        <v>-2947</v>
      </c>
      <c r="AC15" s="219">
        <f t="shared" si="7"/>
        <v>-2573</v>
      </c>
      <c r="AD15" s="219">
        <f t="shared" si="7"/>
        <v>41183</v>
      </c>
      <c r="AE15" s="219">
        <f t="shared" si="8"/>
        <v>38610</v>
      </c>
      <c r="AF15" s="232">
        <f t="shared" si="9"/>
        <v>35663</v>
      </c>
      <c r="AG15" s="239">
        <f t="shared" si="10"/>
        <v>-100</v>
      </c>
      <c r="AH15" s="218">
        <f t="shared" si="11"/>
        <v>-13.958661096945695</v>
      </c>
      <c r="AI15" s="218">
        <f t="shared" si="11"/>
        <v>14.36464281105139</v>
      </c>
      <c r="AJ15" s="218">
        <f t="shared" si="11"/>
        <v>12.653623045914856</v>
      </c>
      <c r="AK15" s="243">
        <f t="shared" si="11"/>
        <v>11.801788982173054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246">
        <v>10</v>
      </c>
      <c r="B16" s="247" t="s">
        <v>30</v>
      </c>
      <c r="C16" s="220">
        <v>0</v>
      </c>
      <c r="D16" s="219">
        <v>0</v>
      </c>
      <c r="E16" s="220">
        <v>0</v>
      </c>
      <c r="F16" s="219">
        <v>0</v>
      </c>
      <c r="G16" s="232">
        <v>0</v>
      </c>
      <c r="H16" s="231">
        <f>'Anne-8'!O18</f>
        <v>0</v>
      </c>
      <c r="I16" s="219">
        <f>'Anne-7'!N18</f>
        <v>0</v>
      </c>
      <c r="J16" s="219">
        <f>'Anne-6'!Z18</f>
        <v>0</v>
      </c>
      <c r="K16" s="219">
        <f t="shared" si="0"/>
        <v>0</v>
      </c>
      <c r="L16" s="232">
        <f t="shared" si="1"/>
        <v>0</v>
      </c>
      <c r="M16" s="231">
        <v>0</v>
      </c>
      <c r="N16" s="219">
        <v>0</v>
      </c>
      <c r="O16" s="221">
        <v>0</v>
      </c>
      <c r="P16" s="219">
        <v>0</v>
      </c>
      <c r="Q16" s="232">
        <v>0</v>
      </c>
      <c r="R16" s="231">
        <f>'Anne-8'!D18</f>
        <v>0</v>
      </c>
      <c r="S16" s="219">
        <f>'Anne-7'!F18</f>
        <v>0</v>
      </c>
      <c r="T16" s="219">
        <f>'Anne-6'!D18</f>
        <v>0</v>
      </c>
      <c r="U16" s="219">
        <f t="shared" si="2"/>
        <v>0</v>
      </c>
      <c r="V16" s="232">
        <f t="shared" si="3"/>
        <v>0</v>
      </c>
      <c r="W16" s="231">
        <f t="shared" si="4"/>
        <v>0</v>
      </c>
      <c r="X16" s="219">
        <f t="shared" si="4"/>
        <v>0</v>
      </c>
      <c r="Y16" s="219">
        <f t="shared" si="4"/>
        <v>0</v>
      </c>
      <c r="Z16" s="219">
        <f t="shared" si="5"/>
        <v>0</v>
      </c>
      <c r="AA16" s="232">
        <f t="shared" si="6"/>
        <v>0</v>
      </c>
      <c r="AB16" s="231">
        <f t="shared" si="7"/>
        <v>0</v>
      </c>
      <c r="AC16" s="219">
        <f t="shared" si="7"/>
        <v>0</v>
      </c>
      <c r="AD16" s="219">
        <f t="shared" si="7"/>
        <v>0</v>
      </c>
      <c r="AE16" s="219">
        <f t="shared" si="8"/>
        <v>0</v>
      </c>
      <c r="AF16" s="232">
        <f t="shared" si="9"/>
        <v>0</v>
      </c>
      <c r="AG16" s="239"/>
      <c r="AH16" s="218"/>
      <c r="AI16" s="218"/>
      <c r="AJ16" s="218"/>
      <c r="AK16" s="243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246">
        <v>11</v>
      </c>
      <c r="B17" s="247" t="s">
        <v>31</v>
      </c>
      <c r="C17" s="220">
        <v>2443214</v>
      </c>
      <c r="D17" s="219">
        <v>14965866</v>
      </c>
      <c r="E17" s="220">
        <v>37948923</v>
      </c>
      <c r="F17" s="219">
        <v>52914789</v>
      </c>
      <c r="G17" s="232">
        <v>55358003</v>
      </c>
      <c r="H17" s="231">
        <f>'Anne-8'!O19</f>
        <v>2405201</v>
      </c>
      <c r="I17" s="219">
        <f>'Anne-7'!N19</f>
        <v>14771643</v>
      </c>
      <c r="J17" s="219">
        <f>'Anne-6'!Z19</f>
        <v>38330378</v>
      </c>
      <c r="K17" s="219">
        <f t="shared" si="0"/>
        <v>53102021</v>
      </c>
      <c r="L17" s="232">
        <f t="shared" si="1"/>
        <v>55507222</v>
      </c>
      <c r="M17" s="231">
        <v>1691273</v>
      </c>
      <c r="N17" s="219">
        <v>175759</v>
      </c>
      <c r="O17" s="221">
        <v>6951224</v>
      </c>
      <c r="P17" s="219">
        <v>7126983</v>
      </c>
      <c r="Q17" s="232">
        <v>8818256</v>
      </c>
      <c r="R17" s="231">
        <f>'Anne-8'!D19</f>
        <v>1649152</v>
      </c>
      <c r="S17" s="219">
        <f>'Anne-7'!F19</f>
        <v>154283</v>
      </c>
      <c r="T17" s="219">
        <f>'Anne-6'!D19</f>
        <v>6933599</v>
      </c>
      <c r="U17" s="219">
        <f t="shared" si="2"/>
        <v>7087882</v>
      </c>
      <c r="V17" s="232">
        <f t="shared" si="3"/>
        <v>8737034</v>
      </c>
      <c r="W17" s="231">
        <f t="shared" si="4"/>
        <v>-38013</v>
      </c>
      <c r="X17" s="219">
        <f t="shared" si="4"/>
        <v>-194223</v>
      </c>
      <c r="Y17" s="219">
        <f t="shared" si="4"/>
        <v>381455</v>
      </c>
      <c r="Z17" s="219">
        <f t="shared" si="5"/>
        <v>187232</v>
      </c>
      <c r="AA17" s="232">
        <f t="shared" si="6"/>
        <v>149219</v>
      </c>
      <c r="AB17" s="231">
        <f t="shared" si="7"/>
        <v>-42121</v>
      </c>
      <c r="AC17" s="219">
        <f t="shared" si="7"/>
        <v>-21476</v>
      </c>
      <c r="AD17" s="219">
        <f t="shared" si="7"/>
        <v>-17625</v>
      </c>
      <c r="AE17" s="219">
        <f t="shared" si="8"/>
        <v>-39101</v>
      </c>
      <c r="AF17" s="232">
        <f t="shared" si="9"/>
        <v>-81222</v>
      </c>
      <c r="AG17" s="239">
        <f t="shared" si="10"/>
        <v>-110.80682924262753</v>
      </c>
      <c r="AH17" s="218">
        <f t="shared" si="11"/>
        <v>11.057392790761135</v>
      </c>
      <c r="AI17" s="219">
        <f t="shared" si="11"/>
        <v>-4.620466372180205</v>
      </c>
      <c r="AJ17" s="218">
        <f t="shared" si="11"/>
        <v>-20.883716458725004</v>
      </c>
      <c r="AK17" s="243">
        <f t="shared" si="11"/>
        <v>-54.43140618822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246">
        <v>12</v>
      </c>
      <c r="B18" s="247" t="s">
        <v>32</v>
      </c>
      <c r="C18" s="220">
        <v>3064818</v>
      </c>
      <c r="D18" s="219">
        <v>5526180</v>
      </c>
      <c r="E18" s="220">
        <v>25166488</v>
      </c>
      <c r="F18" s="219">
        <v>30692668</v>
      </c>
      <c r="G18" s="232">
        <v>33757486</v>
      </c>
      <c r="H18" s="231">
        <f>'Anne-8'!O20</f>
        <v>3033425</v>
      </c>
      <c r="I18" s="219">
        <f>'Anne-7'!N20</f>
        <v>5411288</v>
      </c>
      <c r="J18" s="219">
        <f>'Anne-6'!Z20</f>
        <v>25728993</v>
      </c>
      <c r="K18" s="219">
        <f t="shared" si="0"/>
        <v>31140281</v>
      </c>
      <c r="L18" s="232">
        <f t="shared" si="1"/>
        <v>34173706</v>
      </c>
      <c r="M18" s="231">
        <v>2943505</v>
      </c>
      <c r="N18" s="219">
        <v>287469</v>
      </c>
      <c r="O18" s="221">
        <v>7435687</v>
      </c>
      <c r="P18" s="219">
        <v>7723156</v>
      </c>
      <c r="Q18" s="232">
        <v>10666661</v>
      </c>
      <c r="R18" s="231">
        <f>'Anne-8'!D20</f>
        <v>2912288</v>
      </c>
      <c r="S18" s="219">
        <f>'Anne-7'!F20</f>
        <v>277872</v>
      </c>
      <c r="T18" s="219">
        <f>'Anne-6'!D20</f>
        <v>7604817</v>
      </c>
      <c r="U18" s="219">
        <f t="shared" si="2"/>
        <v>7882689</v>
      </c>
      <c r="V18" s="232">
        <f t="shared" si="3"/>
        <v>10794977</v>
      </c>
      <c r="W18" s="231">
        <f t="shared" si="4"/>
        <v>-31393</v>
      </c>
      <c r="X18" s="219">
        <f t="shared" si="4"/>
        <v>-114892</v>
      </c>
      <c r="Y18" s="219">
        <f t="shared" si="4"/>
        <v>562505</v>
      </c>
      <c r="Z18" s="219">
        <f t="shared" si="5"/>
        <v>447613</v>
      </c>
      <c r="AA18" s="232">
        <f t="shared" si="6"/>
        <v>416220</v>
      </c>
      <c r="AB18" s="231">
        <f t="shared" si="7"/>
        <v>-31217</v>
      </c>
      <c r="AC18" s="219">
        <f t="shared" si="7"/>
        <v>-9597</v>
      </c>
      <c r="AD18" s="219">
        <f t="shared" si="7"/>
        <v>169130</v>
      </c>
      <c r="AE18" s="219">
        <f t="shared" si="8"/>
        <v>159533</v>
      </c>
      <c r="AF18" s="232">
        <f t="shared" si="9"/>
        <v>128316</v>
      </c>
      <c r="AG18" s="239">
        <f t="shared" si="10"/>
        <v>-99.4393654636384</v>
      </c>
      <c r="AH18" s="218">
        <f t="shared" si="11"/>
        <v>8.353062006057863</v>
      </c>
      <c r="AI18" s="218">
        <f t="shared" si="11"/>
        <v>30.06728829077075</v>
      </c>
      <c r="AJ18" s="218">
        <f t="shared" si="11"/>
        <v>35.640832594227604</v>
      </c>
      <c r="AK18" s="418" t="s">
        <v>130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246">
        <v>13</v>
      </c>
      <c r="B19" s="247" t="s">
        <v>33</v>
      </c>
      <c r="C19" s="220">
        <v>1120350</v>
      </c>
      <c r="D19" s="219">
        <v>8050554</v>
      </c>
      <c r="E19" s="220">
        <v>44113738</v>
      </c>
      <c r="F19" s="219">
        <v>52164292</v>
      </c>
      <c r="G19" s="232">
        <v>53284642</v>
      </c>
      <c r="H19" s="231">
        <f>'Anne-8'!O21</f>
        <v>1115331</v>
      </c>
      <c r="I19" s="219">
        <f>'Anne-7'!N21</f>
        <v>8635530</v>
      </c>
      <c r="J19" s="219">
        <f>'Anne-6'!Z21</f>
        <v>44585788</v>
      </c>
      <c r="K19" s="219">
        <f t="shared" si="0"/>
        <v>53221318</v>
      </c>
      <c r="L19" s="232">
        <f t="shared" si="1"/>
        <v>54336649</v>
      </c>
      <c r="M19" s="231">
        <v>835271</v>
      </c>
      <c r="N19" s="219">
        <v>213995</v>
      </c>
      <c r="O19" s="221">
        <v>5030875</v>
      </c>
      <c r="P19" s="219">
        <v>5244870</v>
      </c>
      <c r="Q19" s="232">
        <v>6080141</v>
      </c>
      <c r="R19" s="231">
        <f>'Anne-8'!D21</f>
        <v>830182</v>
      </c>
      <c r="S19" s="219">
        <f>'Anne-7'!F21</f>
        <v>207293</v>
      </c>
      <c r="T19" s="219">
        <f>'Anne-6'!D21</f>
        <v>4852356</v>
      </c>
      <c r="U19" s="219">
        <f t="shared" si="2"/>
        <v>5059649</v>
      </c>
      <c r="V19" s="232">
        <f t="shared" si="3"/>
        <v>5889831</v>
      </c>
      <c r="W19" s="231">
        <f t="shared" si="4"/>
        <v>-5019</v>
      </c>
      <c r="X19" s="219">
        <f t="shared" si="4"/>
        <v>584976</v>
      </c>
      <c r="Y19" s="219">
        <f t="shared" si="4"/>
        <v>472050</v>
      </c>
      <c r="Z19" s="219">
        <f t="shared" si="5"/>
        <v>1057026</v>
      </c>
      <c r="AA19" s="232">
        <f t="shared" si="6"/>
        <v>1052007</v>
      </c>
      <c r="AB19" s="231">
        <f t="shared" si="7"/>
        <v>-5089</v>
      </c>
      <c r="AC19" s="219">
        <f t="shared" si="7"/>
        <v>-6702</v>
      </c>
      <c r="AD19" s="219">
        <f t="shared" si="7"/>
        <v>-178519</v>
      </c>
      <c r="AE19" s="219">
        <f t="shared" si="8"/>
        <v>-185221</v>
      </c>
      <c r="AF19" s="232">
        <f t="shared" si="9"/>
        <v>-190310</v>
      </c>
      <c r="AG19" s="239">
        <f t="shared" si="10"/>
        <v>-101.39470013947</v>
      </c>
      <c r="AH19" s="218">
        <f t="shared" si="11"/>
        <v>-1.1456880282267992</v>
      </c>
      <c r="AI19" s="218">
        <f t="shared" si="11"/>
        <v>-37.817815909331635</v>
      </c>
      <c r="AJ19" s="218">
        <f t="shared" si="11"/>
        <v>-17.52284238987499</v>
      </c>
      <c r="AK19" s="243">
        <f t="shared" si="11"/>
        <v>-18.090183810564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246">
        <v>14</v>
      </c>
      <c r="B20" s="247" t="s">
        <v>34</v>
      </c>
      <c r="C20" s="220">
        <v>2466436</v>
      </c>
      <c r="D20" s="219">
        <v>14977968</v>
      </c>
      <c r="E20" s="220">
        <v>53422397</v>
      </c>
      <c r="F20" s="219">
        <v>68400365</v>
      </c>
      <c r="G20" s="232">
        <v>70866801</v>
      </c>
      <c r="H20" s="231">
        <f>'Anne-8'!O22</f>
        <v>2400338</v>
      </c>
      <c r="I20" s="219">
        <f>'Anne-7'!N22</f>
        <v>14432173</v>
      </c>
      <c r="J20" s="219">
        <f>'Anne-6'!Z22</f>
        <v>53706786</v>
      </c>
      <c r="K20" s="219">
        <f t="shared" si="0"/>
        <v>68138959</v>
      </c>
      <c r="L20" s="232">
        <f t="shared" si="1"/>
        <v>70539297</v>
      </c>
      <c r="M20" s="231">
        <v>2046050</v>
      </c>
      <c r="N20" s="219">
        <v>151694</v>
      </c>
      <c r="O20" s="221">
        <v>6723903</v>
      </c>
      <c r="P20" s="219">
        <v>6875597</v>
      </c>
      <c r="Q20" s="232">
        <v>8921647</v>
      </c>
      <c r="R20" s="231">
        <f>'Anne-8'!D22</f>
        <v>1983732</v>
      </c>
      <c r="S20" s="219">
        <f>'Anne-7'!F22</f>
        <v>143676</v>
      </c>
      <c r="T20" s="219">
        <f>'Anne-6'!D22</f>
        <v>6454945</v>
      </c>
      <c r="U20" s="219">
        <f t="shared" si="2"/>
        <v>6598621</v>
      </c>
      <c r="V20" s="232">
        <f t="shared" si="3"/>
        <v>8582353</v>
      </c>
      <c r="W20" s="231">
        <f t="shared" si="4"/>
        <v>-66098</v>
      </c>
      <c r="X20" s="219">
        <f t="shared" si="4"/>
        <v>-545795</v>
      </c>
      <c r="Y20" s="219">
        <f t="shared" si="4"/>
        <v>284389</v>
      </c>
      <c r="Z20" s="219">
        <f t="shared" si="5"/>
        <v>-261406</v>
      </c>
      <c r="AA20" s="232">
        <f t="shared" si="6"/>
        <v>-327504</v>
      </c>
      <c r="AB20" s="231">
        <f t="shared" si="7"/>
        <v>-62318</v>
      </c>
      <c r="AC20" s="219">
        <f t="shared" si="7"/>
        <v>-8018</v>
      </c>
      <c r="AD20" s="219">
        <f t="shared" si="7"/>
        <v>-268958</v>
      </c>
      <c r="AE20" s="219">
        <f t="shared" si="8"/>
        <v>-276976</v>
      </c>
      <c r="AF20" s="232">
        <f t="shared" si="9"/>
        <v>-339294</v>
      </c>
      <c r="AG20" s="239">
        <f t="shared" si="10"/>
        <v>-94.28121879633272</v>
      </c>
      <c r="AH20" s="218">
        <f t="shared" si="11"/>
        <v>1.469049734790535</v>
      </c>
      <c r="AI20" s="218">
        <f t="shared" si="11"/>
        <v>-94.5739814127832</v>
      </c>
      <c r="AJ20" s="218">
        <f t="shared" si="11"/>
        <v>105.95625196055178</v>
      </c>
      <c r="AK20" s="418" t="s">
        <v>130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246">
        <v>15</v>
      </c>
      <c r="B21" s="247" t="s">
        <v>35</v>
      </c>
      <c r="C21" s="220">
        <v>189884</v>
      </c>
      <c r="D21" s="219">
        <v>147381</v>
      </c>
      <c r="E21" s="220">
        <v>8813161</v>
      </c>
      <c r="F21" s="219">
        <v>8960542</v>
      </c>
      <c r="G21" s="232">
        <v>9150426</v>
      </c>
      <c r="H21" s="231">
        <f>'Anne-8'!O23</f>
        <v>168172</v>
      </c>
      <c r="I21" s="219">
        <f>'Anne-7'!N23</f>
        <v>150329</v>
      </c>
      <c r="J21" s="219">
        <f>'Anne-6'!Z23</f>
        <v>9049342</v>
      </c>
      <c r="K21" s="219">
        <f t="shared" si="0"/>
        <v>9199671</v>
      </c>
      <c r="L21" s="232">
        <f t="shared" si="1"/>
        <v>9367843</v>
      </c>
      <c r="M21" s="231">
        <v>189884</v>
      </c>
      <c r="N21" s="219">
        <v>147381</v>
      </c>
      <c r="O21" s="221">
        <v>1609217</v>
      </c>
      <c r="P21" s="219">
        <v>1756598</v>
      </c>
      <c r="Q21" s="232">
        <v>1946482</v>
      </c>
      <c r="R21" s="231">
        <f>'Anne-8'!D23</f>
        <v>168172</v>
      </c>
      <c r="S21" s="219">
        <f>'Anne-7'!F23</f>
        <v>150329</v>
      </c>
      <c r="T21" s="219">
        <f>'Anne-6'!D23</f>
        <v>1619133</v>
      </c>
      <c r="U21" s="219">
        <f t="shared" si="2"/>
        <v>1769462</v>
      </c>
      <c r="V21" s="232">
        <f t="shared" si="3"/>
        <v>1937634</v>
      </c>
      <c r="W21" s="231">
        <f t="shared" si="4"/>
        <v>-21712</v>
      </c>
      <c r="X21" s="219">
        <f t="shared" si="4"/>
        <v>2948</v>
      </c>
      <c r="Y21" s="219">
        <f t="shared" si="4"/>
        <v>236181</v>
      </c>
      <c r="Z21" s="219">
        <f t="shared" si="5"/>
        <v>239129</v>
      </c>
      <c r="AA21" s="232">
        <f t="shared" si="6"/>
        <v>217417</v>
      </c>
      <c r="AB21" s="231">
        <f t="shared" si="7"/>
        <v>-21712</v>
      </c>
      <c r="AC21" s="219">
        <f t="shared" si="7"/>
        <v>2948</v>
      </c>
      <c r="AD21" s="219">
        <f t="shared" si="7"/>
        <v>9916</v>
      </c>
      <c r="AE21" s="219">
        <f t="shared" si="8"/>
        <v>12864</v>
      </c>
      <c r="AF21" s="232">
        <f t="shared" si="9"/>
        <v>-8848</v>
      </c>
      <c r="AG21" s="239">
        <f t="shared" si="10"/>
        <v>-100</v>
      </c>
      <c r="AH21" s="218">
        <f t="shared" si="11"/>
        <v>100</v>
      </c>
      <c r="AI21" s="218">
        <f t="shared" si="11"/>
        <v>4.198474898488871</v>
      </c>
      <c r="AJ21" s="218">
        <f t="shared" si="11"/>
        <v>5.379523186230027</v>
      </c>
      <c r="AK21" s="243">
        <f t="shared" si="11"/>
        <v>-4.0695989734013445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246">
        <v>16</v>
      </c>
      <c r="B22" s="247" t="s">
        <v>36</v>
      </c>
      <c r="C22" s="220">
        <v>0</v>
      </c>
      <c r="D22" s="219">
        <v>0</v>
      </c>
      <c r="E22" s="220">
        <v>0</v>
      </c>
      <c r="F22" s="219">
        <v>0</v>
      </c>
      <c r="G22" s="232">
        <v>0</v>
      </c>
      <c r="H22" s="231">
        <f>'Anne-8'!O24</f>
        <v>0</v>
      </c>
      <c r="I22" s="219">
        <f>'Anne-7'!N24</f>
        <v>0</v>
      </c>
      <c r="J22" s="219">
        <f>'Anne-6'!Z24</f>
        <v>0</v>
      </c>
      <c r="K22" s="219">
        <f t="shared" si="0"/>
        <v>0</v>
      </c>
      <c r="L22" s="232">
        <f t="shared" si="1"/>
        <v>0</v>
      </c>
      <c r="M22" s="231">
        <v>0</v>
      </c>
      <c r="N22" s="219">
        <v>0</v>
      </c>
      <c r="O22" s="221">
        <v>0</v>
      </c>
      <c r="P22" s="219">
        <v>0</v>
      </c>
      <c r="Q22" s="232">
        <v>0</v>
      </c>
      <c r="R22" s="231">
        <f>'Anne-8'!D24</f>
        <v>0</v>
      </c>
      <c r="S22" s="219">
        <f>'Anne-7'!F24</f>
        <v>0</v>
      </c>
      <c r="T22" s="219">
        <f>'Anne-6'!D24</f>
        <v>0</v>
      </c>
      <c r="U22" s="219">
        <f t="shared" si="2"/>
        <v>0</v>
      </c>
      <c r="V22" s="232">
        <f t="shared" si="3"/>
        <v>0</v>
      </c>
      <c r="W22" s="231">
        <f t="shared" si="4"/>
        <v>0</v>
      </c>
      <c r="X22" s="219">
        <f t="shared" si="4"/>
        <v>0</v>
      </c>
      <c r="Y22" s="219">
        <f t="shared" si="4"/>
        <v>0</v>
      </c>
      <c r="Z22" s="219">
        <f t="shared" si="5"/>
        <v>0</v>
      </c>
      <c r="AA22" s="232">
        <f t="shared" si="6"/>
        <v>0</v>
      </c>
      <c r="AB22" s="231">
        <f t="shared" si="7"/>
        <v>0</v>
      </c>
      <c r="AC22" s="219">
        <f t="shared" si="7"/>
        <v>0</v>
      </c>
      <c r="AD22" s="219">
        <f t="shared" si="7"/>
        <v>0</v>
      </c>
      <c r="AE22" s="219">
        <f t="shared" si="8"/>
        <v>0</v>
      </c>
      <c r="AF22" s="232">
        <f t="shared" si="9"/>
        <v>0</v>
      </c>
      <c r="AG22" s="239"/>
      <c r="AH22" s="218"/>
      <c r="AI22" s="218"/>
      <c r="AJ22" s="218"/>
      <c r="AK22" s="243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246">
        <v>17</v>
      </c>
      <c r="B23" s="247" t="s">
        <v>37</v>
      </c>
      <c r="C23" s="220">
        <v>374427</v>
      </c>
      <c r="D23" s="219">
        <v>2157463</v>
      </c>
      <c r="E23" s="220">
        <v>22444472</v>
      </c>
      <c r="F23" s="219">
        <v>24601935</v>
      </c>
      <c r="G23" s="232">
        <v>24976362</v>
      </c>
      <c r="H23" s="231">
        <f>'Anne-8'!O25</f>
        <v>367357</v>
      </c>
      <c r="I23" s="219">
        <f>'Anne-7'!N25</f>
        <v>2100968</v>
      </c>
      <c r="J23" s="219">
        <f>'Anne-6'!Z25</f>
        <v>22739524</v>
      </c>
      <c r="K23" s="219">
        <f t="shared" si="0"/>
        <v>24840492</v>
      </c>
      <c r="L23" s="232">
        <f t="shared" si="1"/>
        <v>25207849</v>
      </c>
      <c r="M23" s="231">
        <v>364132</v>
      </c>
      <c r="N23" s="219">
        <v>70341</v>
      </c>
      <c r="O23" s="221">
        <v>4443021</v>
      </c>
      <c r="P23" s="219">
        <v>4513362</v>
      </c>
      <c r="Q23" s="232">
        <v>4877494</v>
      </c>
      <c r="R23" s="231">
        <f>'Anne-8'!D25</f>
        <v>357007</v>
      </c>
      <c r="S23" s="219">
        <f>'Anne-7'!F25</f>
        <v>64785</v>
      </c>
      <c r="T23" s="219">
        <f>'Anne-6'!D25</f>
        <v>4456782</v>
      </c>
      <c r="U23" s="219">
        <f t="shared" si="2"/>
        <v>4521567</v>
      </c>
      <c r="V23" s="232">
        <f t="shared" si="3"/>
        <v>4878574</v>
      </c>
      <c r="W23" s="231">
        <f t="shared" si="4"/>
        <v>-7070</v>
      </c>
      <c r="X23" s="219">
        <f t="shared" si="4"/>
        <v>-56495</v>
      </c>
      <c r="Y23" s="219">
        <f t="shared" si="4"/>
        <v>295052</v>
      </c>
      <c r="Z23" s="219">
        <f t="shared" si="5"/>
        <v>238557</v>
      </c>
      <c r="AA23" s="232">
        <f t="shared" si="6"/>
        <v>231487</v>
      </c>
      <c r="AB23" s="231">
        <f t="shared" si="7"/>
        <v>-7125</v>
      </c>
      <c r="AC23" s="219">
        <f t="shared" si="7"/>
        <v>-5556</v>
      </c>
      <c r="AD23" s="219">
        <f t="shared" si="7"/>
        <v>13761</v>
      </c>
      <c r="AE23" s="219">
        <f t="shared" si="8"/>
        <v>8205</v>
      </c>
      <c r="AF23" s="232">
        <f t="shared" si="9"/>
        <v>1080</v>
      </c>
      <c r="AG23" s="239">
        <f t="shared" si="10"/>
        <v>-100.77793493635079</v>
      </c>
      <c r="AH23" s="218">
        <f t="shared" si="11"/>
        <v>9.834498628197185</v>
      </c>
      <c r="AI23" s="218">
        <f t="shared" si="11"/>
        <v>4.663923647357076</v>
      </c>
      <c r="AJ23" s="218">
        <f t="shared" si="11"/>
        <v>3.439429570291377</v>
      </c>
      <c r="AK23" s="243">
        <f t="shared" si="11"/>
        <v>0.46654887747476104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246">
        <v>18</v>
      </c>
      <c r="B24" s="247" t="s">
        <v>38</v>
      </c>
      <c r="C24" s="220">
        <v>1320155</v>
      </c>
      <c r="D24" s="219">
        <v>6869525</v>
      </c>
      <c r="E24" s="220">
        <v>22594770</v>
      </c>
      <c r="F24" s="219">
        <v>29464295</v>
      </c>
      <c r="G24" s="232">
        <v>30784450</v>
      </c>
      <c r="H24" s="231">
        <f>'Anne-8'!O26</f>
        <v>1301973</v>
      </c>
      <c r="I24" s="219">
        <f>'Anne-7'!N26</f>
        <v>7148721</v>
      </c>
      <c r="J24" s="219">
        <f>'Anne-6'!Z26</f>
        <v>22668689</v>
      </c>
      <c r="K24" s="219">
        <f t="shared" si="0"/>
        <v>29817410</v>
      </c>
      <c r="L24" s="232">
        <f t="shared" si="1"/>
        <v>31119383</v>
      </c>
      <c r="M24" s="231">
        <v>983646</v>
      </c>
      <c r="N24" s="219">
        <v>40433</v>
      </c>
      <c r="O24" s="221">
        <v>4391890</v>
      </c>
      <c r="P24" s="219">
        <v>4432323</v>
      </c>
      <c r="Q24" s="232">
        <v>5415969</v>
      </c>
      <c r="R24" s="231">
        <f>'Anne-8'!D26</f>
        <v>957611</v>
      </c>
      <c r="S24" s="219">
        <f>'Anne-7'!F26</f>
        <v>38592</v>
      </c>
      <c r="T24" s="219">
        <f>'Anne-6'!D26</f>
        <v>4364839</v>
      </c>
      <c r="U24" s="219">
        <f t="shared" si="2"/>
        <v>4403431</v>
      </c>
      <c r="V24" s="232">
        <f t="shared" si="3"/>
        <v>5361042</v>
      </c>
      <c r="W24" s="231">
        <f t="shared" si="4"/>
        <v>-18182</v>
      </c>
      <c r="X24" s="219">
        <f t="shared" si="4"/>
        <v>279196</v>
      </c>
      <c r="Y24" s="219">
        <f t="shared" si="4"/>
        <v>73919</v>
      </c>
      <c r="Z24" s="219">
        <f t="shared" si="5"/>
        <v>353115</v>
      </c>
      <c r="AA24" s="232">
        <f t="shared" si="6"/>
        <v>334933</v>
      </c>
      <c r="AB24" s="231">
        <f t="shared" si="7"/>
        <v>-26035</v>
      </c>
      <c r="AC24" s="219">
        <f t="shared" si="7"/>
        <v>-1841</v>
      </c>
      <c r="AD24" s="219">
        <f t="shared" si="7"/>
        <v>-27051</v>
      </c>
      <c r="AE24" s="219">
        <f t="shared" si="8"/>
        <v>-28892</v>
      </c>
      <c r="AF24" s="232">
        <f t="shared" si="9"/>
        <v>-54927</v>
      </c>
      <c r="AG24" s="239">
        <f t="shared" si="10"/>
        <v>-143.19106808931912</v>
      </c>
      <c r="AH24" s="218">
        <f t="shared" si="11"/>
        <v>-0.659393401051591</v>
      </c>
      <c r="AI24" s="218">
        <f t="shared" si="11"/>
        <v>-36.595462600955095</v>
      </c>
      <c r="AJ24" s="218">
        <f t="shared" si="11"/>
        <v>-8.182037013437549</v>
      </c>
      <c r="AK24" s="243">
        <f t="shared" si="11"/>
        <v>-16.399399282841642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246">
        <v>19</v>
      </c>
      <c r="B25" s="247" t="s">
        <v>39</v>
      </c>
      <c r="C25" s="220">
        <v>1011011</v>
      </c>
      <c r="D25" s="219">
        <v>11001510</v>
      </c>
      <c r="E25" s="220">
        <v>37599620</v>
      </c>
      <c r="F25" s="219">
        <v>48601130</v>
      </c>
      <c r="G25" s="232">
        <v>49612141</v>
      </c>
      <c r="H25" s="231">
        <f>'Anne-8'!O27</f>
        <v>995297</v>
      </c>
      <c r="I25" s="219">
        <f>'Anne-7'!N27</f>
        <v>10893491</v>
      </c>
      <c r="J25" s="219">
        <f>'Anne-6'!Z27</f>
        <v>38624260</v>
      </c>
      <c r="K25" s="219">
        <f t="shared" si="0"/>
        <v>49517751</v>
      </c>
      <c r="L25" s="232">
        <f t="shared" si="1"/>
        <v>50513048</v>
      </c>
      <c r="M25" s="231">
        <v>887216</v>
      </c>
      <c r="N25" s="219">
        <v>178030</v>
      </c>
      <c r="O25" s="221">
        <v>5788422</v>
      </c>
      <c r="P25" s="219">
        <v>5966452</v>
      </c>
      <c r="Q25" s="232">
        <v>6853668</v>
      </c>
      <c r="R25" s="231">
        <f>'Anne-8'!D27</f>
        <v>870498</v>
      </c>
      <c r="S25" s="219">
        <f>'Anne-7'!F27</f>
        <v>175212</v>
      </c>
      <c r="T25" s="219">
        <f>'Anne-6'!D27</f>
        <v>5785794</v>
      </c>
      <c r="U25" s="219">
        <f t="shared" si="2"/>
        <v>5961006</v>
      </c>
      <c r="V25" s="232">
        <f t="shared" si="3"/>
        <v>6831504</v>
      </c>
      <c r="W25" s="231">
        <f t="shared" si="4"/>
        <v>-15714</v>
      </c>
      <c r="X25" s="219">
        <f t="shared" si="4"/>
        <v>-108019</v>
      </c>
      <c r="Y25" s="219">
        <f t="shared" si="4"/>
        <v>1024640</v>
      </c>
      <c r="Z25" s="219">
        <f t="shared" si="5"/>
        <v>916621</v>
      </c>
      <c r="AA25" s="232">
        <f t="shared" si="6"/>
        <v>900907</v>
      </c>
      <c r="AB25" s="231">
        <f t="shared" si="7"/>
        <v>-16718</v>
      </c>
      <c r="AC25" s="219">
        <f t="shared" si="7"/>
        <v>-2818</v>
      </c>
      <c r="AD25" s="219">
        <f t="shared" si="7"/>
        <v>-2628</v>
      </c>
      <c r="AE25" s="219">
        <f t="shared" si="8"/>
        <v>-5446</v>
      </c>
      <c r="AF25" s="232">
        <f t="shared" si="9"/>
        <v>-22164</v>
      </c>
      <c r="AG25" s="239">
        <f t="shared" si="10"/>
        <v>-106.38920707649231</v>
      </c>
      <c r="AH25" s="218">
        <f t="shared" si="11"/>
        <v>2.6088003036502836</v>
      </c>
      <c r="AI25" s="218">
        <f t="shared" si="11"/>
        <v>-0.2564803247970019</v>
      </c>
      <c r="AJ25" s="218">
        <f t="shared" si="11"/>
        <v>-0.5941386898183655</v>
      </c>
      <c r="AK25" s="243">
        <f t="shared" si="11"/>
        <v>-2.4601873445316778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246">
        <v>20</v>
      </c>
      <c r="B26" s="247" t="s">
        <v>40</v>
      </c>
      <c r="C26" s="220">
        <v>1779999</v>
      </c>
      <c r="D26" s="219">
        <v>11410521</v>
      </c>
      <c r="E26" s="220">
        <v>47497972</v>
      </c>
      <c r="F26" s="219">
        <v>58908493</v>
      </c>
      <c r="G26" s="232">
        <v>60688492</v>
      </c>
      <c r="H26" s="231">
        <f>'Anne-8'!O28</f>
        <v>1752186</v>
      </c>
      <c r="I26" s="219">
        <f>'Anne-7'!N28</f>
        <v>11052979</v>
      </c>
      <c r="J26" s="219">
        <f>'Anne-6'!Z28</f>
        <v>48119550</v>
      </c>
      <c r="K26" s="219">
        <f t="shared" si="0"/>
        <v>59172529</v>
      </c>
      <c r="L26" s="232">
        <f t="shared" si="1"/>
        <v>60924715</v>
      </c>
      <c r="M26" s="231">
        <v>1582503</v>
      </c>
      <c r="N26" s="219">
        <v>100909</v>
      </c>
      <c r="O26" s="221">
        <v>7927731</v>
      </c>
      <c r="P26" s="219">
        <v>8028640</v>
      </c>
      <c r="Q26" s="232">
        <v>9611143</v>
      </c>
      <c r="R26" s="231">
        <f>'Anne-8'!D28</f>
        <v>1553599</v>
      </c>
      <c r="S26" s="219">
        <f>'Anne-7'!F28</f>
        <v>98169</v>
      </c>
      <c r="T26" s="219">
        <f>'Anne-6'!D28</f>
        <v>7964688</v>
      </c>
      <c r="U26" s="219">
        <f t="shared" si="2"/>
        <v>8062857</v>
      </c>
      <c r="V26" s="232">
        <f t="shared" si="3"/>
        <v>9616456</v>
      </c>
      <c r="W26" s="231">
        <f t="shared" si="4"/>
        <v>-27813</v>
      </c>
      <c r="X26" s="219">
        <f t="shared" si="4"/>
        <v>-357542</v>
      </c>
      <c r="Y26" s="219">
        <f t="shared" si="4"/>
        <v>621578</v>
      </c>
      <c r="Z26" s="219">
        <f t="shared" si="5"/>
        <v>264036</v>
      </c>
      <c r="AA26" s="232">
        <f t="shared" si="6"/>
        <v>236223</v>
      </c>
      <c r="AB26" s="231">
        <f t="shared" si="7"/>
        <v>-28904</v>
      </c>
      <c r="AC26" s="219">
        <f t="shared" si="7"/>
        <v>-2740</v>
      </c>
      <c r="AD26" s="219">
        <f t="shared" si="7"/>
        <v>36957</v>
      </c>
      <c r="AE26" s="219">
        <f t="shared" si="8"/>
        <v>34217</v>
      </c>
      <c r="AF26" s="232">
        <f t="shared" si="9"/>
        <v>5313</v>
      </c>
      <c r="AG26" s="239">
        <f t="shared" si="10"/>
        <v>-103.9226261100924</v>
      </c>
      <c r="AH26" s="218">
        <f t="shared" si="11"/>
        <v>0.7663435344658809</v>
      </c>
      <c r="AI26" s="218">
        <f t="shared" si="11"/>
        <v>5.945673752932054</v>
      </c>
      <c r="AJ26" s="218">
        <f t="shared" si="11"/>
        <v>12.959217682437243</v>
      </c>
      <c r="AK26" s="243">
        <f t="shared" si="11"/>
        <v>2.2491459341385047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246">
        <v>21</v>
      </c>
      <c r="B27" s="247" t="s">
        <v>41</v>
      </c>
      <c r="C27" s="220">
        <v>0</v>
      </c>
      <c r="D27" s="219">
        <v>0</v>
      </c>
      <c r="E27" s="220">
        <v>0</v>
      </c>
      <c r="F27" s="219">
        <v>0</v>
      </c>
      <c r="G27" s="232">
        <v>0</v>
      </c>
      <c r="H27" s="231">
        <f>'Anne-8'!O29</f>
        <v>0</v>
      </c>
      <c r="I27" s="219">
        <f>'Anne-7'!N29</f>
        <v>0</v>
      </c>
      <c r="J27" s="219">
        <f>'Anne-6'!Z29</f>
        <v>0</v>
      </c>
      <c r="K27" s="219">
        <f t="shared" si="0"/>
        <v>0</v>
      </c>
      <c r="L27" s="232">
        <f t="shared" si="1"/>
        <v>0</v>
      </c>
      <c r="M27" s="231">
        <v>0</v>
      </c>
      <c r="N27" s="219">
        <v>0</v>
      </c>
      <c r="O27" s="221">
        <v>0</v>
      </c>
      <c r="P27" s="219">
        <v>0</v>
      </c>
      <c r="Q27" s="232">
        <v>0</v>
      </c>
      <c r="R27" s="231">
        <f>'Anne-8'!D29</f>
        <v>0</v>
      </c>
      <c r="S27" s="219">
        <f>'Anne-7'!F29</f>
        <v>0</v>
      </c>
      <c r="T27" s="219">
        <f>'Anne-6'!D29</f>
        <v>0</v>
      </c>
      <c r="U27" s="219">
        <f t="shared" si="2"/>
        <v>0</v>
      </c>
      <c r="V27" s="232">
        <f t="shared" si="3"/>
        <v>0</v>
      </c>
      <c r="W27" s="231">
        <f t="shared" si="4"/>
        <v>0</v>
      </c>
      <c r="X27" s="219">
        <f t="shared" si="4"/>
        <v>0</v>
      </c>
      <c r="Y27" s="219">
        <f t="shared" si="4"/>
        <v>0</v>
      </c>
      <c r="Z27" s="219">
        <f t="shared" si="5"/>
        <v>0</v>
      </c>
      <c r="AA27" s="232">
        <f t="shared" si="6"/>
        <v>0</v>
      </c>
      <c r="AB27" s="231">
        <f t="shared" si="7"/>
        <v>0</v>
      </c>
      <c r="AC27" s="219">
        <f t="shared" si="7"/>
        <v>0</v>
      </c>
      <c r="AD27" s="219">
        <f t="shared" si="7"/>
        <v>0</v>
      </c>
      <c r="AE27" s="219">
        <f t="shared" si="8"/>
        <v>0</v>
      </c>
      <c r="AF27" s="232">
        <f t="shared" si="9"/>
        <v>0</v>
      </c>
      <c r="AG27" s="239"/>
      <c r="AH27" s="218"/>
      <c r="AI27" s="218"/>
      <c r="AJ27" s="218"/>
      <c r="AK27" s="243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246">
        <v>22</v>
      </c>
      <c r="B28" s="247" t="s">
        <v>42</v>
      </c>
      <c r="C28" s="220">
        <v>1048303</v>
      </c>
      <c r="D28" s="219">
        <v>14726334</v>
      </c>
      <c r="E28" s="220">
        <v>59097816</v>
      </c>
      <c r="F28" s="219">
        <v>73824150</v>
      </c>
      <c r="G28" s="232">
        <v>74872453</v>
      </c>
      <c r="H28" s="231">
        <f>'Anne-8'!O30</f>
        <v>1009294</v>
      </c>
      <c r="I28" s="219">
        <f>'Anne-7'!N30</f>
        <v>14586847</v>
      </c>
      <c r="J28" s="219">
        <f>'Anne-6'!Z30</f>
        <v>60468261</v>
      </c>
      <c r="K28" s="219">
        <f t="shared" si="0"/>
        <v>75055108</v>
      </c>
      <c r="L28" s="232">
        <f t="shared" si="1"/>
        <v>76064402</v>
      </c>
      <c r="M28" s="231">
        <v>943196</v>
      </c>
      <c r="N28" s="219">
        <v>420339</v>
      </c>
      <c r="O28" s="221">
        <v>10014585</v>
      </c>
      <c r="P28" s="219">
        <v>10434924</v>
      </c>
      <c r="Q28" s="232">
        <v>11378120</v>
      </c>
      <c r="R28" s="231">
        <f>'Anne-8'!D30</f>
        <v>904190</v>
      </c>
      <c r="S28" s="219">
        <f>'Anne-7'!F30</f>
        <v>419011</v>
      </c>
      <c r="T28" s="219">
        <f>'Anne-6'!D30</f>
        <v>10008618</v>
      </c>
      <c r="U28" s="219">
        <f t="shared" si="2"/>
        <v>10427629</v>
      </c>
      <c r="V28" s="232">
        <f t="shared" si="3"/>
        <v>11331819</v>
      </c>
      <c r="W28" s="231">
        <f t="shared" si="4"/>
        <v>-39009</v>
      </c>
      <c r="X28" s="219">
        <f t="shared" si="4"/>
        <v>-139487</v>
      </c>
      <c r="Y28" s="219">
        <f t="shared" si="4"/>
        <v>1370445</v>
      </c>
      <c r="Z28" s="219">
        <f t="shared" si="5"/>
        <v>1230958</v>
      </c>
      <c r="AA28" s="232">
        <f t="shared" si="6"/>
        <v>1191949</v>
      </c>
      <c r="AB28" s="231">
        <f t="shared" si="7"/>
        <v>-39006</v>
      </c>
      <c r="AC28" s="219">
        <f t="shared" si="7"/>
        <v>-1328</v>
      </c>
      <c r="AD28" s="219">
        <f t="shared" si="7"/>
        <v>-5967</v>
      </c>
      <c r="AE28" s="219">
        <f t="shared" si="8"/>
        <v>-7295</v>
      </c>
      <c r="AF28" s="232">
        <f t="shared" si="9"/>
        <v>-46301</v>
      </c>
      <c r="AG28" s="239">
        <f t="shared" si="10"/>
        <v>-99.99230946704607</v>
      </c>
      <c r="AH28" s="218">
        <f t="shared" si="11"/>
        <v>0.9520600486066801</v>
      </c>
      <c r="AI28" s="218">
        <f t="shared" si="11"/>
        <v>-0.43540601775335747</v>
      </c>
      <c r="AJ28" s="218">
        <f t="shared" si="11"/>
        <v>-0.5926278557026315</v>
      </c>
      <c r="AK28" s="243">
        <f t="shared" si="11"/>
        <v>-3.884478278852535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246">
        <v>23</v>
      </c>
      <c r="B29" s="247" t="s">
        <v>43</v>
      </c>
      <c r="C29" s="220">
        <v>767118</v>
      </c>
      <c r="D29" s="219">
        <v>11210241</v>
      </c>
      <c r="E29" s="220">
        <v>37189244</v>
      </c>
      <c r="F29" s="219">
        <v>48399485</v>
      </c>
      <c r="G29" s="232">
        <v>49166603</v>
      </c>
      <c r="H29" s="231">
        <f>'Anne-8'!O31</f>
        <v>666774</v>
      </c>
      <c r="I29" s="219">
        <f>'Anne-7'!N31</f>
        <v>11081510</v>
      </c>
      <c r="J29" s="219">
        <f>'Anne-6'!Z31</f>
        <v>37233393</v>
      </c>
      <c r="K29" s="219">
        <f t="shared" si="0"/>
        <v>48314903</v>
      </c>
      <c r="L29" s="232">
        <f t="shared" si="1"/>
        <v>48981677</v>
      </c>
      <c r="M29" s="231">
        <v>728589</v>
      </c>
      <c r="N29" s="219">
        <v>134031</v>
      </c>
      <c r="O29" s="221">
        <v>4768705</v>
      </c>
      <c r="P29" s="219">
        <v>4902736</v>
      </c>
      <c r="Q29" s="232">
        <v>5631325</v>
      </c>
      <c r="R29" s="231">
        <f>'Anne-8'!D31</f>
        <v>628187</v>
      </c>
      <c r="S29" s="219">
        <f>'Anne-7'!F31</f>
        <v>91293</v>
      </c>
      <c r="T29" s="219">
        <f>'Anne-6'!D31</f>
        <v>4663137</v>
      </c>
      <c r="U29" s="219">
        <f t="shared" si="2"/>
        <v>4754430</v>
      </c>
      <c r="V29" s="232">
        <f t="shared" si="3"/>
        <v>5382617</v>
      </c>
      <c r="W29" s="231">
        <f t="shared" si="4"/>
        <v>-100344</v>
      </c>
      <c r="X29" s="219">
        <f t="shared" si="4"/>
        <v>-128731</v>
      </c>
      <c r="Y29" s="219">
        <f t="shared" si="4"/>
        <v>44149</v>
      </c>
      <c r="Z29" s="219">
        <f t="shared" si="5"/>
        <v>-84582</v>
      </c>
      <c r="AA29" s="232">
        <f t="shared" si="6"/>
        <v>-184926</v>
      </c>
      <c r="AB29" s="231">
        <f t="shared" si="7"/>
        <v>-100402</v>
      </c>
      <c r="AC29" s="219">
        <f t="shared" si="7"/>
        <v>-42738</v>
      </c>
      <c r="AD29" s="219">
        <f t="shared" si="7"/>
        <v>-105568</v>
      </c>
      <c r="AE29" s="219">
        <f t="shared" si="8"/>
        <v>-148306</v>
      </c>
      <c r="AF29" s="232">
        <f t="shared" si="9"/>
        <v>-248708</v>
      </c>
      <c r="AG29" s="239">
        <f>-(AB29)/W29*100</f>
        <v>-100.05780116399585</v>
      </c>
      <c r="AH29" s="218">
        <f t="shared" si="11"/>
        <v>33.199462444943336</v>
      </c>
      <c r="AI29" s="218">
        <f t="shared" si="11"/>
        <v>-239.11753380597523</v>
      </c>
      <c r="AJ29" s="218">
        <f t="shared" si="11"/>
        <v>175.33990683596983</v>
      </c>
      <c r="AK29" s="418" t="s">
        <v>130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246">
        <v>24</v>
      </c>
      <c r="B30" s="247" t="s">
        <v>44</v>
      </c>
      <c r="C30" s="220">
        <v>548248</v>
      </c>
      <c r="D30" s="219">
        <v>4083473</v>
      </c>
      <c r="E30" s="220">
        <v>37076386</v>
      </c>
      <c r="F30" s="219">
        <v>41159859</v>
      </c>
      <c r="G30" s="232">
        <v>41708107</v>
      </c>
      <c r="H30" s="231">
        <f>'Anne-8'!O32</f>
        <v>538928</v>
      </c>
      <c r="I30" s="219">
        <f>'Anne-7'!N32</f>
        <v>3704324</v>
      </c>
      <c r="J30" s="219">
        <f>'Anne-6'!Z32</f>
        <v>37555685</v>
      </c>
      <c r="K30" s="219">
        <f t="shared" si="0"/>
        <v>41260009</v>
      </c>
      <c r="L30" s="232">
        <f t="shared" si="1"/>
        <v>41798937</v>
      </c>
      <c r="M30" s="231">
        <v>542345</v>
      </c>
      <c r="N30" s="219">
        <v>75773</v>
      </c>
      <c r="O30" s="221">
        <v>3533718</v>
      </c>
      <c r="P30" s="219">
        <v>3609491</v>
      </c>
      <c r="Q30" s="232">
        <v>4151836</v>
      </c>
      <c r="R30" s="231">
        <f>'Anne-8'!D32</f>
        <v>533067</v>
      </c>
      <c r="S30" s="219">
        <f>'Anne-7'!F32</f>
        <v>68972</v>
      </c>
      <c r="T30" s="219">
        <f>'Anne-6'!D32</f>
        <v>2930108</v>
      </c>
      <c r="U30" s="219">
        <f t="shared" si="2"/>
        <v>2999080</v>
      </c>
      <c r="V30" s="232">
        <f t="shared" si="3"/>
        <v>3532147</v>
      </c>
      <c r="W30" s="231">
        <f t="shared" si="4"/>
        <v>-9320</v>
      </c>
      <c r="X30" s="219">
        <f t="shared" si="4"/>
        <v>-379149</v>
      </c>
      <c r="Y30" s="219">
        <f t="shared" si="4"/>
        <v>479299</v>
      </c>
      <c r="Z30" s="219">
        <f t="shared" si="5"/>
        <v>100150</v>
      </c>
      <c r="AA30" s="232">
        <f t="shared" si="6"/>
        <v>90830</v>
      </c>
      <c r="AB30" s="231">
        <f t="shared" si="7"/>
        <v>-9278</v>
      </c>
      <c r="AC30" s="219">
        <f t="shared" si="7"/>
        <v>-6801</v>
      </c>
      <c r="AD30" s="219">
        <f t="shared" si="7"/>
        <v>-603610</v>
      </c>
      <c r="AE30" s="219">
        <f t="shared" si="8"/>
        <v>-610411</v>
      </c>
      <c r="AF30" s="232">
        <f t="shared" si="9"/>
        <v>-619689</v>
      </c>
      <c r="AG30" s="239">
        <f t="shared" si="10"/>
        <v>-99.54935622317596</v>
      </c>
      <c r="AH30" s="218">
        <f t="shared" si="11"/>
        <v>1.7937539067754367</v>
      </c>
      <c r="AI30" s="218">
        <f t="shared" si="11"/>
        <v>-125.93600237012804</v>
      </c>
      <c r="AJ30" s="218">
        <f t="shared" si="11"/>
        <v>-609.4967548676984</v>
      </c>
      <c r="AK30" s="418" t="s">
        <v>130</v>
      </c>
    </row>
    <row r="31" spans="1:37" ht="18" customHeight="1">
      <c r="A31" s="246">
        <v>25</v>
      </c>
      <c r="B31" s="247" t="s">
        <v>45</v>
      </c>
      <c r="C31" s="220">
        <v>1144255</v>
      </c>
      <c r="D31" s="219">
        <v>3764962</v>
      </c>
      <c r="E31" s="220">
        <v>17495102</v>
      </c>
      <c r="F31" s="219">
        <v>21260064</v>
      </c>
      <c r="G31" s="232">
        <v>22404319</v>
      </c>
      <c r="H31" s="231">
        <f>'Anne-8'!O33</f>
        <v>1119779</v>
      </c>
      <c r="I31" s="219">
        <f>'Anne-7'!N33</f>
        <v>3641188</v>
      </c>
      <c r="J31" s="219">
        <f>'Anne-6'!Z33</f>
        <v>17908367</v>
      </c>
      <c r="K31" s="219">
        <f t="shared" si="0"/>
        <v>21549555</v>
      </c>
      <c r="L31" s="232">
        <f t="shared" si="1"/>
        <v>22669334</v>
      </c>
      <c r="M31" s="231">
        <v>930944</v>
      </c>
      <c r="N31" s="219">
        <v>24387</v>
      </c>
      <c r="O31" s="221">
        <v>2271492</v>
      </c>
      <c r="P31" s="219">
        <v>2295879</v>
      </c>
      <c r="Q31" s="232">
        <v>3226823</v>
      </c>
      <c r="R31" s="231">
        <f>'Anne-8'!D33</f>
        <v>906311</v>
      </c>
      <c r="S31" s="219">
        <f>'Anne-7'!F33</f>
        <v>22784</v>
      </c>
      <c r="T31" s="219">
        <f>'Anne-6'!D33</f>
        <v>2272562</v>
      </c>
      <c r="U31" s="219">
        <f t="shared" si="2"/>
        <v>2295346</v>
      </c>
      <c r="V31" s="232">
        <f t="shared" si="3"/>
        <v>3201657</v>
      </c>
      <c r="W31" s="231">
        <f t="shared" si="4"/>
        <v>-24476</v>
      </c>
      <c r="X31" s="219">
        <f t="shared" si="4"/>
        <v>-123774</v>
      </c>
      <c r="Y31" s="219">
        <f t="shared" si="4"/>
        <v>413265</v>
      </c>
      <c r="Z31" s="219">
        <f t="shared" si="5"/>
        <v>289491</v>
      </c>
      <c r="AA31" s="232">
        <f t="shared" si="6"/>
        <v>265015</v>
      </c>
      <c r="AB31" s="231">
        <f t="shared" si="7"/>
        <v>-24633</v>
      </c>
      <c r="AC31" s="219">
        <f t="shared" si="7"/>
        <v>-1603</v>
      </c>
      <c r="AD31" s="219">
        <f t="shared" si="7"/>
        <v>1070</v>
      </c>
      <c r="AE31" s="219">
        <f t="shared" si="8"/>
        <v>-533</v>
      </c>
      <c r="AF31" s="232">
        <f t="shared" si="9"/>
        <v>-25166</v>
      </c>
      <c r="AG31" s="239">
        <f t="shared" si="10"/>
        <v>-100.64144468050335</v>
      </c>
      <c r="AH31" s="218">
        <f t="shared" si="11"/>
        <v>1.2951023639859744</v>
      </c>
      <c r="AI31" s="218">
        <f t="shared" si="11"/>
        <v>0.25891377203489285</v>
      </c>
      <c r="AJ31" s="218">
        <f t="shared" si="11"/>
        <v>-0.18411625922740257</v>
      </c>
      <c r="AK31" s="418" t="s">
        <v>130</v>
      </c>
    </row>
    <row r="32" spans="1:43" ht="18" customHeight="1">
      <c r="A32" s="246">
        <v>26</v>
      </c>
      <c r="B32" s="247" t="s">
        <v>46</v>
      </c>
      <c r="C32" s="220">
        <v>1329576</v>
      </c>
      <c r="D32" s="219">
        <v>2288935</v>
      </c>
      <c r="E32" s="220">
        <v>11214964</v>
      </c>
      <c r="F32" s="219">
        <v>13503899</v>
      </c>
      <c r="G32" s="232">
        <v>14833475</v>
      </c>
      <c r="H32" s="231">
        <f>'Anne-8'!O34</f>
        <v>1317775</v>
      </c>
      <c r="I32" s="219">
        <f>'Anne-7'!N34</f>
        <v>2263928</v>
      </c>
      <c r="J32" s="219">
        <f>'Anne-6'!Z34</f>
        <v>11389538</v>
      </c>
      <c r="K32" s="219">
        <f t="shared" si="0"/>
        <v>13653466</v>
      </c>
      <c r="L32" s="232">
        <f t="shared" si="1"/>
        <v>14971241</v>
      </c>
      <c r="M32" s="231">
        <v>816173</v>
      </c>
      <c r="N32" s="219">
        <v>15263</v>
      </c>
      <c r="O32" s="221">
        <v>1553995</v>
      </c>
      <c r="P32" s="219">
        <v>1569258</v>
      </c>
      <c r="Q32" s="232">
        <v>2385431</v>
      </c>
      <c r="R32" s="231">
        <f>'Anne-8'!D34</f>
        <v>805246</v>
      </c>
      <c r="S32" s="219">
        <f>'Anne-7'!F34</f>
        <v>14169</v>
      </c>
      <c r="T32" s="219">
        <f>'Anne-6'!D34</f>
        <v>1520393</v>
      </c>
      <c r="U32" s="219">
        <f t="shared" si="2"/>
        <v>1534562</v>
      </c>
      <c r="V32" s="232">
        <f t="shared" si="3"/>
        <v>2339808</v>
      </c>
      <c r="W32" s="231">
        <f t="shared" si="4"/>
        <v>-11801</v>
      </c>
      <c r="X32" s="219">
        <f t="shared" si="4"/>
        <v>-25007</v>
      </c>
      <c r="Y32" s="219">
        <f t="shared" si="4"/>
        <v>174574</v>
      </c>
      <c r="Z32" s="219">
        <f t="shared" si="5"/>
        <v>149567</v>
      </c>
      <c r="AA32" s="232">
        <f t="shared" si="6"/>
        <v>137766</v>
      </c>
      <c r="AB32" s="231">
        <f t="shared" si="7"/>
        <v>-10927</v>
      </c>
      <c r="AC32" s="219">
        <f t="shared" si="7"/>
        <v>-1094</v>
      </c>
      <c r="AD32" s="219">
        <f t="shared" si="7"/>
        <v>-33602</v>
      </c>
      <c r="AE32" s="219">
        <f t="shared" si="8"/>
        <v>-34696</v>
      </c>
      <c r="AF32" s="232">
        <f t="shared" si="9"/>
        <v>-45623</v>
      </c>
      <c r="AG32" s="418" t="s">
        <v>130</v>
      </c>
      <c r="AH32" s="218">
        <f t="shared" si="11"/>
        <v>4.374775062982365</v>
      </c>
      <c r="AI32" s="218">
        <f t="shared" si="11"/>
        <v>-19.247997983663087</v>
      </c>
      <c r="AJ32" s="418" t="s">
        <v>130</v>
      </c>
      <c r="AK32" s="418" t="s">
        <v>130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40"/>
      <c r="B33" s="238" t="s">
        <v>47</v>
      </c>
      <c r="C33" s="233">
        <v>24265365</v>
      </c>
      <c r="D33" s="233">
        <v>148486698</v>
      </c>
      <c r="E33" s="233">
        <v>648519316</v>
      </c>
      <c r="F33" s="233">
        <v>797006014</v>
      </c>
      <c r="G33" s="233">
        <v>821271379</v>
      </c>
      <c r="H33" s="233">
        <f aca="true" t="shared" si="12" ref="H33:AA33">SUM(H8:H32)</f>
        <v>23712418</v>
      </c>
      <c r="I33" s="222">
        <f t="shared" si="12"/>
        <v>147499683</v>
      </c>
      <c r="J33" s="222">
        <f t="shared" si="12"/>
        <v>656361952</v>
      </c>
      <c r="K33" s="222">
        <f t="shared" si="12"/>
        <v>803861635</v>
      </c>
      <c r="L33" s="234">
        <f t="shared" si="12"/>
        <v>827574053</v>
      </c>
      <c r="M33" s="233">
        <v>20446062</v>
      </c>
      <c r="N33" s="222">
        <v>2701813</v>
      </c>
      <c r="O33" s="222">
        <v>98504812</v>
      </c>
      <c r="P33" s="222">
        <v>101206625</v>
      </c>
      <c r="Q33" s="234">
        <v>121652687</v>
      </c>
      <c r="R33" s="233">
        <f t="shared" si="12"/>
        <v>19890296</v>
      </c>
      <c r="S33" s="222">
        <f t="shared" si="12"/>
        <v>2578171</v>
      </c>
      <c r="T33" s="222">
        <f t="shared" si="12"/>
        <v>95412549</v>
      </c>
      <c r="U33" s="222">
        <f t="shared" si="12"/>
        <v>97990720</v>
      </c>
      <c r="V33" s="234">
        <f t="shared" si="12"/>
        <v>117881016</v>
      </c>
      <c r="W33" s="233">
        <f t="shared" si="12"/>
        <v>-552947</v>
      </c>
      <c r="X33" s="222">
        <f t="shared" si="12"/>
        <v>-987015</v>
      </c>
      <c r="Y33" s="222">
        <f t="shared" si="12"/>
        <v>7842636</v>
      </c>
      <c r="Z33" s="222">
        <f t="shared" si="12"/>
        <v>6855621</v>
      </c>
      <c r="AA33" s="234">
        <f t="shared" si="12"/>
        <v>6302674</v>
      </c>
      <c r="AB33" s="233">
        <f>SUM(AB8:AB32)</f>
        <v>-555766</v>
      </c>
      <c r="AC33" s="222">
        <f>SUM(AC8:AC32)</f>
        <v>-123642</v>
      </c>
      <c r="AD33" s="222">
        <f>SUM(AD8:AD32)</f>
        <v>-3092263</v>
      </c>
      <c r="AE33" s="222">
        <f>SUM(AE8:AE32)</f>
        <v>-3215905</v>
      </c>
      <c r="AF33" s="234">
        <f>SUM(AF8:AF32)</f>
        <v>-3771671</v>
      </c>
      <c r="AG33" s="239">
        <f t="shared" si="10"/>
        <v>-100.50981377962083</v>
      </c>
      <c r="AH33" s="223">
        <f t="shared" si="11"/>
        <v>12.526861293901309</v>
      </c>
      <c r="AI33" s="223">
        <f t="shared" si="11"/>
        <v>-39.42887314928297</v>
      </c>
      <c r="AJ33" s="223">
        <f t="shared" si="11"/>
        <v>-46.90902545517029</v>
      </c>
      <c r="AK33" s="418" t="s">
        <v>130</v>
      </c>
    </row>
    <row r="34" spans="1:37" ht="18" customHeight="1">
      <c r="A34" s="228">
        <v>27</v>
      </c>
      <c r="B34" s="238" t="s">
        <v>48</v>
      </c>
      <c r="C34" s="220">
        <v>2956758</v>
      </c>
      <c r="D34" s="219">
        <v>12252819</v>
      </c>
      <c r="E34" s="219">
        <v>28173610</v>
      </c>
      <c r="F34" s="219">
        <v>40426429</v>
      </c>
      <c r="G34" s="232">
        <v>43383187</v>
      </c>
      <c r="H34" s="231">
        <f>'Anne-8'!O36</f>
        <v>2971600</v>
      </c>
      <c r="I34" s="219">
        <f>'Anne-7'!N36</f>
        <v>11789130</v>
      </c>
      <c r="J34" s="219">
        <f>'Anne-6'!Z36</f>
        <v>28388582</v>
      </c>
      <c r="K34" s="219">
        <f t="shared" si="0"/>
        <v>40177712</v>
      </c>
      <c r="L34" s="232">
        <f t="shared" si="1"/>
        <v>43149312</v>
      </c>
      <c r="M34" s="239">
        <v>0</v>
      </c>
      <c r="N34" s="218">
        <v>0</v>
      </c>
      <c r="O34" s="224">
        <v>0</v>
      </c>
      <c r="P34" s="219">
        <v>0</v>
      </c>
      <c r="Q34" s="232">
        <v>0</v>
      </c>
      <c r="R34" s="231">
        <f>'[1]LL31.03.10'!D36</f>
        <v>0</v>
      </c>
      <c r="S34" s="219">
        <f>'[1]WLL31.03.10'!D36+'[1]WLL31.03.10'!L36</f>
        <v>0</v>
      </c>
      <c r="T34" s="219">
        <f>'[1]M31.03.10'!D36</f>
        <v>0</v>
      </c>
      <c r="U34" s="219">
        <f>SUM(S34:T34)</f>
        <v>0</v>
      </c>
      <c r="V34" s="232">
        <f>U34+R34</f>
        <v>0</v>
      </c>
      <c r="W34" s="231">
        <f t="shared" si="4"/>
        <v>14842</v>
      </c>
      <c r="X34" s="219">
        <f>I34-D34</f>
        <v>-463689</v>
      </c>
      <c r="Y34" s="219">
        <f>J34-E34</f>
        <v>214972</v>
      </c>
      <c r="Z34" s="219">
        <f>SUM(X34:Y34)</f>
        <v>-248717</v>
      </c>
      <c r="AA34" s="232">
        <f>Z34+W34</f>
        <v>-233875</v>
      </c>
      <c r="AB34" s="231">
        <f aca="true" t="shared" si="13" ref="AB34:AD35">R34-M34</f>
        <v>0</v>
      </c>
      <c r="AC34" s="219">
        <f t="shared" si="13"/>
        <v>0</v>
      </c>
      <c r="AD34" s="219">
        <f t="shared" si="13"/>
        <v>0</v>
      </c>
      <c r="AE34" s="219">
        <f>SUM(AC34:AD34)</f>
        <v>0</v>
      </c>
      <c r="AF34" s="232">
        <f>AE34+AB34</f>
        <v>0</v>
      </c>
      <c r="AG34" s="239"/>
      <c r="AH34" s="218"/>
      <c r="AI34" s="218"/>
      <c r="AJ34" s="218"/>
      <c r="AK34" s="243"/>
    </row>
    <row r="35" spans="1:37" ht="18" customHeight="1">
      <c r="A35" s="228">
        <v>28</v>
      </c>
      <c r="B35" s="238" t="s">
        <v>49</v>
      </c>
      <c r="C35" s="220">
        <v>2985545</v>
      </c>
      <c r="D35" s="219">
        <v>10154685</v>
      </c>
      <c r="E35" s="219">
        <v>20198977</v>
      </c>
      <c r="F35" s="219">
        <v>30353662</v>
      </c>
      <c r="G35" s="232">
        <v>33339207</v>
      </c>
      <c r="H35" s="231">
        <f>'Anne-8'!O37</f>
        <v>3051259</v>
      </c>
      <c r="I35" s="219">
        <f>'Anne-7'!N37</f>
        <v>9794910</v>
      </c>
      <c r="J35" s="219">
        <f>'Anne-6'!Z37</f>
        <v>19781504</v>
      </c>
      <c r="K35" s="219">
        <f t="shared" si="0"/>
        <v>29576414</v>
      </c>
      <c r="L35" s="232">
        <f t="shared" si="1"/>
        <v>32627673</v>
      </c>
      <c r="M35" s="239">
        <v>0</v>
      </c>
      <c r="N35" s="218">
        <v>0</v>
      </c>
      <c r="O35" s="224">
        <v>0</v>
      </c>
      <c r="P35" s="219">
        <v>0</v>
      </c>
      <c r="Q35" s="232">
        <v>0</v>
      </c>
      <c r="R35" s="231">
        <f>'[1]LL31.03.10'!D37</f>
        <v>0</v>
      </c>
      <c r="S35" s="219">
        <f>'[1]WLL31.03.10'!D37+'[1]WLL31.03.10'!L37</f>
        <v>0</v>
      </c>
      <c r="T35" s="219">
        <f>'[1]M31.03.10'!D37</f>
        <v>0</v>
      </c>
      <c r="U35" s="219">
        <f>SUM(S35:T35)</f>
        <v>0</v>
      </c>
      <c r="V35" s="232">
        <f>U35+R35</f>
        <v>0</v>
      </c>
      <c r="W35" s="231">
        <f t="shared" si="4"/>
        <v>65714</v>
      </c>
      <c r="X35" s="219">
        <f>I35-D35</f>
        <v>-359775</v>
      </c>
      <c r="Y35" s="219">
        <f>J35-E35</f>
        <v>-417473</v>
      </c>
      <c r="Z35" s="219">
        <f>SUM(X35:Y35)</f>
        <v>-777248</v>
      </c>
      <c r="AA35" s="232">
        <f>Z35+W35</f>
        <v>-711534</v>
      </c>
      <c r="AB35" s="231">
        <f t="shared" si="13"/>
        <v>0</v>
      </c>
      <c r="AC35" s="219">
        <f t="shared" si="13"/>
        <v>0</v>
      </c>
      <c r="AD35" s="219">
        <f t="shared" si="13"/>
        <v>0</v>
      </c>
      <c r="AE35" s="219">
        <f>SUM(AC35:AD35)</f>
        <v>0</v>
      </c>
      <c r="AF35" s="232">
        <f>AE35+AB35</f>
        <v>0</v>
      </c>
      <c r="AG35" s="239"/>
      <c r="AH35" s="218"/>
      <c r="AI35" s="218"/>
      <c r="AJ35" s="218"/>
      <c r="AK35" s="243"/>
    </row>
    <row r="36" spans="1:37" ht="18" customHeight="1" thickBot="1">
      <c r="A36" s="248"/>
      <c r="B36" s="249" t="s">
        <v>50</v>
      </c>
      <c r="C36" s="245">
        <v>30207668</v>
      </c>
      <c r="D36" s="236">
        <v>170894202</v>
      </c>
      <c r="E36" s="236">
        <v>696891903</v>
      </c>
      <c r="F36" s="236">
        <v>867786105</v>
      </c>
      <c r="G36" s="237">
        <v>897993773</v>
      </c>
      <c r="H36" s="235">
        <f aca="true" t="shared" si="14" ref="H36:AF36">SUM(H33:H35)</f>
        <v>29735277</v>
      </c>
      <c r="I36" s="236">
        <f t="shared" si="14"/>
        <v>169083723</v>
      </c>
      <c r="J36" s="236">
        <f t="shared" si="14"/>
        <v>704532038</v>
      </c>
      <c r="K36" s="236">
        <f t="shared" si="14"/>
        <v>873615761</v>
      </c>
      <c r="L36" s="237">
        <f t="shared" si="14"/>
        <v>903351038</v>
      </c>
      <c r="M36" s="235">
        <v>20446062</v>
      </c>
      <c r="N36" s="236">
        <v>2701813</v>
      </c>
      <c r="O36" s="236">
        <v>98504812</v>
      </c>
      <c r="P36" s="236">
        <v>101206625</v>
      </c>
      <c r="Q36" s="237">
        <v>121652687</v>
      </c>
      <c r="R36" s="235">
        <f t="shared" si="14"/>
        <v>19890296</v>
      </c>
      <c r="S36" s="236">
        <f t="shared" si="14"/>
        <v>2578171</v>
      </c>
      <c r="T36" s="236">
        <f t="shared" si="14"/>
        <v>95412549</v>
      </c>
      <c r="U36" s="236">
        <f t="shared" si="14"/>
        <v>97990720</v>
      </c>
      <c r="V36" s="237">
        <f t="shared" si="14"/>
        <v>117881016</v>
      </c>
      <c r="W36" s="235">
        <f t="shared" si="14"/>
        <v>-472391</v>
      </c>
      <c r="X36" s="236">
        <f t="shared" si="14"/>
        <v>-1810479</v>
      </c>
      <c r="Y36" s="236">
        <f t="shared" si="14"/>
        <v>7640135</v>
      </c>
      <c r="Z36" s="236">
        <f t="shared" si="14"/>
        <v>5829656</v>
      </c>
      <c r="AA36" s="237">
        <f t="shared" si="14"/>
        <v>5357265</v>
      </c>
      <c r="AB36" s="235">
        <f t="shared" si="14"/>
        <v>-555766</v>
      </c>
      <c r="AC36" s="236">
        <f t="shared" si="14"/>
        <v>-123642</v>
      </c>
      <c r="AD36" s="236">
        <f t="shared" si="14"/>
        <v>-3092263</v>
      </c>
      <c r="AE36" s="236">
        <f t="shared" si="14"/>
        <v>-3215905</v>
      </c>
      <c r="AF36" s="237">
        <f t="shared" si="14"/>
        <v>-3771671</v>
      </c>
      <c r="AG36" s="252">
        <f t="shared" si="10"/>
        <v>-117.64957418748452</v>
      </c>
      <c r="AH36" s="244">
        <f t="shared" si="11"/>
        <v>6.829242427004124</v>
      </c>
      <c r="AI36" s="244">
        <f t="shared" si="11"/>
        <v>-40.473931416133354</v>
      </c>
      <c r="AJ36" s="244">
        <f t="shared" si="11"/>
        <v>-55.16457574855189</v>
      </c>
      <c r="AK36" s="419" t="s">
        <v>130</v>
      </c>
    </row>
    <row r="39" ht="12.75">
      <c r="L39">
        <v>653927947</v>
      </c>
    </row>
    <row r="40" ht="12.75">
      <c r="L40" s="81">
        <f>L39-L36</f>
        <v>-249423091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 horizontalCentered="1" verticalCentered="1"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4.140625" style="0" customWidth="1"/>
    <col min="4" max="4" width="12.7109375" style="0" customWidth="1"/>
    <col min="5" max="5" width="10.28125" style="0" customWidth="1"/>
    <col min="6" max="9" width="12.7109375" style="0" customWidth="1"/>
    <col min="10" max="10" width="11.57421875" style="0" hidden="1" customWidth="1"/>
    <col min="11" max="11" width="0.13671875" style="0" hidden="1" customWidth="1"/>
    <col min="12" max="12" width="11.57421875" style="0" customWidth="1"/>
    <col min="13" max="13" width="12.7109375" style="0" customWidth="1"/>
    <col min="14" max="15" width="11.57421875" style="0" customWidth="1"/>
    <col min="16" max="16" width="9.8515625" style="0" customWidth="1"/>
    <col min="17" max="17" width="11.57421875" style="0" customWidth="1"/>
    <col min="18" max="18" width="9.8515625" style="0" customWidth="1"/>
    <col min="19" max="19" width="10.00390625" style="0" customWidth="1"/>
    <col min="20" max="21" width="13.00390625" style="0" customWidth="1"/>
    <col min="22" max="22" width="8.28125" style="0" customWidth="1"/>
    <col min="23" max="23" width="10.7109375" style="0" customWidth="1"/>
    <col min="24" max="24" width="11.7109375" style="0" customWidth="1"/>
    <col min="25" max="25" width="12.7109375" style="0" customWidth="1"/>
    <col min="26" max="26" width="13.140625" style="0" customWidth="1"/>
    <col min="27" max="27" width="14.28125" style="0" customWidth="1"/>
    <col min="29" max="29" width="9.28125" style="0" bestFit="1" customWidth="1"/>
    <col min="30" max="30" width="9.57421875" style="0" bestFit="1" customWidth="1"/>
    <col min="34" max="35" width="0" style="0" hidden="1" customWidth="1"/>
  </cols>
  <sheetData>
    <row r="1" s="163" customFormat="1" ht="15">
      <c r="U1" s="324" t="s">
        <v>114</v>
      </c>
    </row>
    <row r="2" spans="2:11" ht="14.25">
      <c r="B2" s="2" t="str">
        <f>'Anne-2'!B2</f>
        <v>No. 1-2(1)/Market Share/2012-CP&amp;M </v>
      </c>
      <c r="C2" s="2"/>
      <c r="D2" s="2"/>
      <c r="E2" s="2"/>
      <c r="F2" s="2"/>
      <c r="G2" s="2"/>
      <c r="H2" s="2" t="str">
        <f>'Anne-2'!F2</f>
        <v>Dated: 19th August 2013.</v>
      </c>
      <c r="I2" s="2"/>
      <c r="J2" s="2"/>
      <c r="K2" s="2"/>
    </row>
    <row r="3" ht="9" customHeight="1"/>
    <row r="4" spans="2:3" ht="15">
      <c r="B4" s="26" t="s">
        <v>228</v>
      </c>
      <c r="C4" s="26"/>
    </row>
    <row r="5" spans="4:19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</row>
    <row r="6" spans="1:27" ht="16.5" customHeight="1">
      <c r="A6" s="532" t="s">
        <v>62</v>
      </c>
      <c r="B6" s="534" t="s">
        <v>63</v>
      </c>
      <c r="C6" s="532" t="s">
        <v>118</v>
      </c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1"/>
      <c r="N6" s="20"/>
      <c r="O6" s="20"/>
      <c r="P6" s="20"/>
      <c r="Q6" s="20"/>
      <c r="R6" s="20"/>
      <c r="S6" s="20"/>
      <c r="T6" s="531" t="s">
        <v>69</v>
      </c>
      <c r="U6" s="531" t="s">
        <v>70</v>
      </c>
      <c r="V6" s="531" t="s">
        <v>106</v>
      </c>
      <c r="W6" s="530" t="s">
        <v>121</v>
      </c>
      <c r="X6" s="528" t="s">
        <v>101</v>
      </c>
      <c r="Y6" s="47"/>
      <c r="Z6" s="80" t="s">
        <v>235</v>
      </c>
      <c r="AA6" s="48"/>
    </row>
    <row r="7" spans="1:27" ht="43.5" customHeight="1">
      <c r="A7" s="533"/>
      <c r="B7" s="534"/>
      <c r="C7" s="533"/>
      <c r="D7" s="49" t="s">
        <v>100</v>
      </c>
      <c r="E7" s="49" t="s">
        <v>2</v>
      </c>
      <c r="F7" s="37" t="s">
        <v>60</v>
      </c>
      <c r="G7" s="49" t="s">
        <v>3</v>
      </c>
      <c r="H7" s="49" t="s">
        <v>65</v>
      </c>
      <c r="I7" s="49" t="s">
        <v>124</v>
      </c>
      <c r="J7" s="49" t="s">
        <v>125</v>
      </c>
      <c r="K7" s="49" t="s">
        <v>126</v>
      </c>
      <c r="L7" s="49" t="s">
        <v>66</v>
      </c>
      <c r="M7" s="49" t="s">
        <v>67</v>
      </c>
      <c r="N7" s="49" t="s">
        <v>68</v>
      </c>
      <c r="O7" s="165" t="s">
        <v>134</v>
      </c>
      <c r="P7" s="165" t="s">
        <v>144</v>
      </c>
      <c r="Q7" s="50" t="s">
        <v>187</v>
      </c>
      <c r="R7" s="50" t="s">
        <v>186</v>
      </c>
      <c r="S7" s="49" t="s">
        <v>185</v>
      </c>
      <c r="T7" s="531"/>
      <c r="U7" s="531"/>
      <c r="V7" s="531"/>
      <c r="W7" s="529"/>
      <c r="X7" s="529"/>
      <c r="Y7" s="47" t="s">
        <v>47</v>
      </c>
      <c r="Z7" s="40" t="s">
        <v>87</v>
      </c>
      <c r="AA7" s="51" t="s">
        <v>88</v>
      </c>
    </row>
    <row r="8" spans="1:41" ht="14.25" customHeight="1">
      <c r="A8" s="5">
        <v>1</v>
      </c>
      <c r="B8" s="6" t="s">
        <v>21</v>
      </c>
      <c r="C8" s="6"/>
      <c r="D8" s="36"/>
      <c r="E8" s="5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>G8+H8+L8+I8+M8+N8+S8+R8+Q8+O8+P8</f>
        <v>0</v>
      </c>
      <c r="U8" s="36">
        <f aca="true" t="shared" si="0" ref="U8:U33">F8+T8</f>
        <v>0</v>
      </c>
      <c r="V8" s="89"/>
      <c r="W8" s="57"/>
      <c r="X8" s="57"/>
      <c r="Y8" s="36">
        <f>Z8+AA8</f>
        <v>484.3618536765765</v>
      </c>
      <c r="Z8" s="58">
        <v>184.1429706115965</v>
      </c>
      <c r="AA8" s="58">
        <v>300.21888306498</v>
      </c>
      <c r="AC8" s="73">
        <v>192.9999999999999</v>
      </c>
      <c r="AD8" s="73">
        <v>301</v>
      </c>
      <c r="AO8">
        <v>13.774230059876057</v>
      </c>
    </row>
    <row r="9" spans="1:41" ht="15">
      <c r="A9" s="5">
        <v>2</v>
      </c>
      <c r="B9" s="6" t="s">
        <v>22</v>
      </c>
      <c r="C9" s="85">
        <v>3</v>
      </c>
      <c r="D9" s="36">
        <f>'Anne-6'!D10+'Anne-7'!F10+'Anne-8'!D10</f>
        <v>11251325</v>
      </c>
      <c r="E9" s="56"/>
      <c r="F9" s="36">
        <f>D9+E9</f>
        <v>11251325</v>
      </c>
      <c r="G9" s="84">
        <f>'Anne-6'!G10+'Anne-8'!H10</f>
        <v>18647634</v>
      </c>
      <c r="H9" s="8">
        <f>'Anne-6'!S10+'Anne-7'!I10+'Anne-8'!I10</f>
        <v>7097060</v>
      </c>
      <c r="I9" s="36">
        <f>'Anne-6'!I10+'Anne-8'!M10</f>
        <v>5878530</v>
      </c>
      <c r="J9" s="36">
        <f>G9-D9</f>
        <v>7396309</v>
      </c>
      <c r="K9" s="105">
        <f>J9/D9</f>
        <v>0.6573722650443392</v>
      </c>
      <c r="L9" s="8">
        <f>'Anne-8'!J10+'Anne-7'!J10</f>
        <v>6582055</v>
      </c>
      <c r="M9" s="84">
        <f>'Anne-6'!N10</f>
        <v>11569388</v>
      </c>
      <c r="N9" s="36">
        <f>'Anne-6'!K10</f>
        <v>1798359</v>
      </c>
      <c r="O9" s="36">
        <f>'Anne-6'!V10</f>
        <v>4450683</v>
      </c>
      <c r="P9" s="36">
        <f>'Anne-6'!W10</f>
        <v>0</v>
      </c>
      <c r="Q9" s="36">
        <f>+'Anne-7'!L10+'Anne-8'!L10</f>
        <v>0</v>
      </c>
      <c r="R9" s="36"/>
      <c r="S9" s="36"/>
      <c r="T9" s="36">
        <f aca="true" t="shared" si="1" ref="T9:T37">G9+H9+L9+I9+M9+N9+S9+R9+Q9+O9+P9</f>
        <v>56023709</v>
      </c>
      <c r="U9" s="36">
        <f t="shared" si="0"/>
        <v>67275034</v>
      </c>
      <c r="V9" s="139">
        <f>D9/U9*100</f>
        <v>16.724369102511343</v>
      </c>
      <c r="W9" s="57">
        <f>U9/(X9*1000)</f>
        <v>0.7780158899040129</v>
      </c>
      <c r="X9" s="59">
        <f>Y9</f>
        <v>86470</v>
      </c>
      <c r="Y9" s="36">
        <f aca="true" t="shared" si="2" ref="Y9:Y37">Z9+AA9</f>
        <v>86470</v>
      </c>
      <c r="Z9" s="58">
        <v>23973</v>
      </c>
      <c r="AA9" s="58">
        <v>62497</v>
      </c>
      <c r="AC9" s="73">
        <v>23487</v>
      </c>
      <c r="AD9" s="73">
        <v>61248</v>
      </c>
      <c r="AO9">
        <v>15.992765979229496</v>
      </c>
    </row>
    <row r="10" spans="1:41" ht="15">
      <c r="A10" s="5">
        <v>3</v>
      </c>
      <c r="B10" s="6" t="s">
        <v>23</v>
      </c>
      <c r="C10" s="85">
        <v>5</v>
      </c>
      <c r="D10" s="36">
        <f>'Anne-6'!D11+'Anne-7'!F11+'Anne-8'!D11</f>
        <v>1416497</v>
      </c>
      <c r="E10" s="56"/>
      <c r="F10" s="36">
        <f aca="true" t="shared" si="3" ref="F10:F36">D10+E10</f>
        <v>1416497</v>
      </c>
      <c r="G10" s="84">
        <f>'Anne-6'!G11+'Anne-8'!H11</f>
        <v>4101733</v>
      </c>
      <c r="H10" s="84">
        <f>'Anne-6'!S11+'Anne-7'!I11+'Anne-8'!I11</f>
        <v>2921103</v>
      </c>
      <c r="I10" s="84">
        <f>'Anne-6'!I11+'Anne-8'!M11</f>
        <v>2506703</v>
      </c>
      <c r="J10" s="36"/>
      <c r="K10" s="36"/>
      <c r="L10" s="8">
        <f>'Anne-8'!J11+'Anne-7'!J11</f>
        <v>0</v>
      </c>
      <c r="M10" s="8">
        <f>'Anne-6'!N11</f>
        <v>440032</v>
      </c>
      <c r="N10" s="84">
        <f>'Anne-6'!K11</f>
        <v>3547608</v>
      </c>
      <c r="O10" s="36">
        <f>'Anne-6'!V11</f>
        <v>0</v>
      </c>
      <c r="P10" s="36">
        <f>'Anne-6'!W11</f>
        <v>0</v>
      </c>
      <c r="Q10" s="36">
        <f>+'Anne-7'!L11+'Anne-8'!L11</f>
        <v>0</v>
      </c>
      <c r="R10" s="36"/>
      <c r="S10" s="36"/>
      <c r="T10" s="36">
        <f t="shared" si="1"/>
        <v>13517179</v>
      </c>
      <c r="U10" s="36">
        <f t="shared" si="0"/>
        <v>14933676</v>
      </c>
      <c r="V10" s="139">
        <f>D10/U10*100</f>
        <v>9.485253329454851</v>
      </c>
      <c r="W10" s="57">
        <f aca="true" t="shared" si="4" ref="W10:W37">U10/(X10*1000)</f>
        <v>0.4749343057955496</v>
      </c>
      <c r="X10" s="59">
        <f aca="true" t="shared" si="5" ref="X10:X36">Y10</f>
        <v>31443.66666666667</v>
      </c>
      <c r="Y10" s="36">
        <f t="shared" si="2"/>
        <v>31443.66666666667</v>
      </c>
      <c r="Z10" s="58">
        <v>4822</v>
      </c>
      <c r="AA10" s="58">
        <v>26621.66666666667</v>
      </c>
      <c r="AC10" s="73">
        <v>4571.000000000004</v>
      </c>
      <c r="AD10" s="73">
        <v>25997</v>
      </c>
      <c r="AO10">
        <v>15.942150650811174</v>
      </c>
    </row>
    <row r="11" spans="1:41" ht="15">
      <c r="A11" s="5">
        <v>4</v>
      </c>
      <c r="B11" s="6" t="s">
        <v>24</v>
      </c>
      <c r="C11" s="85">
        <v>7</v>
      </c>
      <c r="D11" s="36">
        <f>'Anne-6'!D12+'Anne-7'!F12+'Anne-8'!D12</f>
        <v>4196515</v>
      </c>
      <c r="E11" s="56"/>
      <c r="F11" s="36">
        <f t="shared" si="3"/>
        <v>4196515</v>
      </c>
      <c r="G11" s="84">
        <f>'Anne-6'!G12+'Anne-8'!H12</f>
        <v>20275101</v>
      </c>
      <c r="H11" s="84">
        <f>'Anne-6'!S12+'Anne-7'!I12+'Anne-8'!I12</f>
        <v>10001588</v>
      </c>
      <c r="I11" s="84">
        <f>'Anne-6'!I12+'Anne-8'!M12</f>
        <v>6910472</v>
      </c>
      <c r="J11" s="36">
        <f>G11-D11</f>
        <v>16078586</v>
      </c>
      <c r="K11" s="105">
        <f>J11/D11</f>
        <v>3.831413923219624</v>
      </c>
      <c r="L11" s="8">
        <f>'Anne-8'!J12+'Anne-7'!J12</f>
        <v>3515476</v>
      </c>
      <c r="M11" s="84">
        <f>'Anne-6'!N12</f>
        <v>6275862</v>
      </c>
      <c r="N11" s="84">
        <f>'Anne-6'!K12</f>
        <v>4711600</v>
      </c>
      <c r="O11" s="84">
        <f>'Anne-6'!V12</f>
        <v>4517009</v>
      </c>
      <c r="P11" s="36">
        <f>'Anne-6'!W12</f>
        <v>0</v>
      </c>
      <c r="Q11" s="36">
        <f>+'Anne-7'!L12+'Anne-8'!L12</f>
        <v>0</v>
      </c>
      <c r="R11" s="36"/>
      <c r="S11" s="36"/>
      <c r="T11" s="36">
        <f t="shared" si="1"/>
        <v>56207108</v>
      </c>
      <c r="U11" s="36">
        <f t="shared" si="0"/>
        <v>60403623</v>
      </c>
      <c r="V11" s="139">
        <f>D11/U11*100</f>
        <v>6.94745578423334</v>
      </c>
      <c r="W11" s="57">
        <f t="shared" si="4"/>
        <v>0.4535510239326421</v>
      </c>
      <c r="X11" s="59">
        <f>Y11+Y17</f>
        <v>133179.33333333337</v>
      </c>
      <c r="Y11" s="36">
        <f t="shared" si="2"/>
        <v>100703.97698258738</v>
      </c>
      <c r="Z11" s="58">
        <v>10663.590337654206</v>
      </c>
      <c r="AA11" s="58">
        <v>90040.38664493317</v>
      </c>
      <c r="AC11" s="73">
        <v>10279.999999999993</v>
      </c>
      <c r="AD11" s="73">
        <v>87440</v>
      </c>
      <c r="AO11">
        <v>14.894723151844975</v>
      </c>
    </row>
    <row r="12" spans="1:41" ht="15" customHeight="1">
      <c r="A12" s="5">
        <v>5</v>
      </c>
      <c r="B12" s="6" t="s">
        <v>25</v>
      </c>
      <c r="C12" s="85"/>
      <c r="D12" s="36"/>
      <c r="E12" s="56"/>
      <c r="F12" s="36"/>
      <c r="G12" s="8"/>
      <c r="H12" s="36"/>
      <c r="I12" s="36"/>
      <c r="J12" s="36"/>
      <c r="K12" s="36"/>
      <c r="L12" s="8"/>
      <c r="M12" s="36"/>
      <c r="N12" s="36"/>
      <c r="O12" s="36"/>
      <c r="P12" s="36"/>
      <c r="Q12" s="36"/>
      <c r="R12" s="36"/>
      <c r="S12" s="36"/>
      <c r="T12" s="36">
        <f t="shared" si="1"/>
        <v>0</v>
      </c>
      <c r="U12" s="36">
        <f t="shared" si="0"/>
        <v>0</v>
      </c>
      <c r="V12" s="139"/>
      <c r="W12" s="57" t="e">
        <f t="shared" si="4"/>
        <v>#DIV/0!</v>
      </c>
      <c r="X12" s="59"/>
      <c r="Y12" s="36">
        <f t="shared" si="2"/>
        <v>25173.51469916349</v>
      </c>
      <c r="Z12" s="58">
        <v>5826.133109985294</v>
      </c>
      <c r="AA12" s="58">
        <v>19347.381589178196</v>
      </c>
      <c r="AC12" s="73">
        <v>5599.999999999996</v>
      </c>
      <c r="AD12" s="73">
        <v>18657.999999999985</v>
      </c>
      <c r="AO12">
        <v>22.46874083820653</v>
      </c>
    </row>
    <row r="13" spans="1:41" ht="15">
      <c r="A13" s="5">
        <v>6</v>
      </c>
      <c r="B13" s="6" t="s">
        <v>26</v>
      </c>
      <c r="C13" s="85">
        <v>5</v>
      </c>
      <c r="D13" s="36">
        <f>'Anne-6'!D14+'Anne-7'!F14+'Anne-8'!D14</f>
        <v>5832879</v>
      </c>
      <c r="E13" s="56"/>
      <c r="F13" s="36">
        <f t="shared" si="3"/>
        <v>5832879</v>
      </c>
      <c r="G13" s="84">
        <f>'Anne-6'!G14+'Anne-8'!H14</f>
        <v>7113430</v>
      </c>
      <c r="H13" s="84">
        <f>'Anne-6'!S14+'Anne-7'!I14+'Anne-8'!I14</f>
        <v>7291936</v>
      </c>
      <c r="I13" s="84">
        <f>'Anne-6'!I14+'Anne-8'!M14</f>
        <v>16286025</v>
      </c>
      <c r="J13" s="36">
        <f>I13-D13</f>
        <v>10453146</v>
      </c>
      <c r="K13" s="105">
        <f>J13/D13</f>
        <v>1.792107465284296</v>
      </c>
      <c r="L13" s="8">
        <f>'Anne-8'!J14+'Anne-7'!J14</f>
        <v>2692836</v>
      </c>
      <c r="M13" s="84">
        <f>'Anne-6'!N14</f>
        <v>8466824</v>
      </c>
      <c r="N13" s="36">
        <f>'Anne-6'!K14</f>
        <v>35773</v>
      </c>
      <c r="O13" s="36">
        <f>'Anne-6'!V14</f>
        <v>5084389</v>
      </c>
      <c r="P13" s="36">
        <f>'Anne-6'!W14</f>
        <v>702642</v>
      </c>
      <c r="Q13" s="36">
        <f>+'Anne-7'!L14+'Anne-8'!L14</f>
        <v>200654</v>
      </c>
      <c r="R13" s="36"/>
      <c r="S13" s="36"/>
      <c r="T13" s="36">
        <f t="shared" si="1"/>
        <v>47874509</v>
      </c>
      <c r="U13" s="36">
        <f t="shared" si="0"/>
        <v>53707388</v>
      </c>
      <c r="V13" s="139">
        <f>D13/U13*100</f>
        <v>10.860477891793956</v>
      </c>
      <c r="W13" s="57">
        <f t="shared" si="4"/>
        <v>0.8731299597906078</v>
      </c>
      <c r="X13" s="59">
        <f t="shared" si="5"/>
        <v>61511.33333333333</v>
      </c>
      <c r="Y13" s="36">
        <f t="shared" si="2"/>
        <v>61511.33333333333</v>
      </c>
      <c r="Z13" s="58">
        <v>25246.33333333333</v>
      </c>
      <c r="AA13" s="58">
        <v>36265</v>
      </c>
      <c r="AC13" s="73">
        <v>24045.999999999985</v>
      </c>
      <c r="AD13" s="73">
        <v>35597.99999999997</v>
      </c>
      <c r="AO13">
        <v>30.493285040347402</v>
      </c>
    </row>
    <row r="14" spans="1:41" ht="15">
      <c r="A14" s="5">
        <v>7</v>
      </c>
      <c r="B14" s="6" t="s">
        <v>27</v>
      </c>
      <c r="C14" s="85">
        <v>3</v>
      </c>
      <c r="D14" s="36">
        <f>'Anne-6'!D15+'Anne-7'!F15+'Anne-8'!D15</f>
        <v>3567794</v>
      </c>
      <c r="E14" s="56"/>
      <c r="F14" s="36">
        <f t="shared" si="3"/>
        <v>3567794</v>
      </c>
      <c r="G14" s="8">
        <f>'Anne-6'!G15+'Anne-8'!H15</f>
        <v>2338181</v>
      </c>
      <c r="H14" s="8">
        <f>'Anne-6'!S15+'Anne-7'!I15+'Anne-8'!I15</f>
        <v>2445915</v>
      </c>
      <c r="I14" s="84">
        <f>'Anne-6'!I15+'Anne-8'!M15</f>
        <v>4697689</v>
      </c>
      <c r="J14" s="36"/>
      <c r="K14" s="36"/>
      <c r="L14" s="8">
        <f>'Anne-8'!J15+'Anne-7'!J15</f>
        <v>2693565</v>
      </c>
      <c r="M14" s="84">
        <f>'Anne-6'!N15</f>
        <v>3846587</v>
      </c>
      <c r="N14" s="36">
        <f>'Anne-6'!K15</f>
        <v>11092</v>
      </c>
      <c r="O14" s="36">
        <f>'Anne-6'!V15</f>
        <v>0</v>
      </c>
      <c r="P14" s="36">
        <f>'Anne-6'!W15</f>
        <v>852520</v>
      </c>
      <c r="Q14" s="36">
        <f>+'Anne-7'!L15+'Anne-8'!L15</f>
        <v>0</v>
      </c>
      <c r="R14" s="36"/>
      <c r="S14" s="36"/>
      <c r="T14" s="36">
        <f t="shared" si="1"/>
        <v>16885549</v>
      </c>
      <c r="U14" s="36">
        <f t="shared" si="0"/>
        <v>20453343</v>
      </c>
      <c r="V14" s="139">
        <f>D14/U14*100</f>
        <v>17.443573894008427</v>
      </c>
      <c r="W14" s="57">
        <f t="shared" si="4"/>
        <v>0.7746793717726967</v>
      </c>
      <c r="X14" s="59">
        <f t="shared" si="5"/>
        <v>26402.333333333336</v>
      </c>
      <c r="Y14" s="36">
        <f t="shared" si="2"/>
        <v>26402.333333333336</v>
      </c>
      <c r="Z14" s="58">
        <v>9185.333333333336</v>
      </c>
      <c r="AA14" s="58">
        <v>17217</v>
      </c>
      <c r="AC14" s="73">
        <v>8555.999999999993</v>
      </c>
      <c r="AD14" s="73">
        <v>16883</v>
      </c>
      <c r="AO14">
        <v>20.876024789608948</v>
      </c>
    </row>
    <row r="15" spans="1:41" s="379" customFormat="1" ht="15">
      <c r="A15" s="374">
        <v>8</v>
      </c>
      <c r="B15" s="375" t="s">
        <v>28</v>
      </c>
      <c r="C15" s="374">
        <v>2</v>
      </c>
      <c r="D15" s="96">
        <f>'Anne-6'!D16+'Anne-7'!F16+'Anne-8'!D16</f>
        <v>1806576</v>
      </c>
      <c r="E15" s="381"/>
      <c r="F15" s="96">
        <f t="shared" si="3"/>
        <v>1806576</v>
      </c>
      <c r="G15" s="93">
        <f>'Anne-6'!G16+'Anne-8'!H16</f>
        <v>2035958</v>
      </c>
      <c r="H15" s="70">
        <f>'Anne-6'!S16+'Anne-7'!I16+'Anne-8'!I16</f>
        <v>1572732</v>
      </c>
      <c r="I15" s="36">
        <f>'Anne-6'!I16+'Anne-8'!M16</f>
        <v>523069</v>
      </c>
      <c r="J15" s="96"/>
      <c r="K15" s="96"/>
      <c r="L15" s="70">
        <f>'Anne-8'!J16+'Anne-7'!J16</f>
        <v>169355</v>
      </c>
      <c r="M15" s="96">
        <f>'Anne-6'!N16</f>
        <v>492266</v>
      </c>
      <c r="N15" s="96">
        <f>'Anne-6'!K16</f>
        <v>682129</v>
      </c>
      <c r="O15" s="96">
        <f>'Anne-6'!V16</f>
        <v>0</v>
      </c>
      <c r="P15" s="96">
        <f>'Anne-6'!W16</f>
        <v>0</v>
      </c>
      <c r="Q15" s="96">
        <f>+'Anne-7'!L16+'Anne-8'!L16</f>
        <v>0</v>
      </c>
      <c r="R15" s="96"/>
      <c r="S15" s="96"/>
      <c r="T15" s="96">
        <f t="shared" si="1"/>
        <v>5475509</v>
      </c>
      <c r="U15" s="96">
        <f t="shared" si="0"/>
        <v>7282085</v>
      </c>
      <c r="V15" s="382">
        <f>D15/U15*100</f>
        <v>24.80849921416737</v>
      </c>
      <c r="W15" s="383">
        <f t="shared" si="4"/>
        <v>1.0495942634765065</v>
      </c>
      <c r="X15" s="384">
        <f t="shared" si="5"/>
        <v>6937.999999999998</v>
      </c>
      <c r="Y15" s="96">
        <f t="shared" si="2"/>
        <v>6937.999999999998</v>
      </c>
      <c r="Z15" s="86">
        <v>787.6666666666665</v>
      </c>
      <c r="AA15" s="86">
        <v>6150.333333333332</v>
      </c>
      <c r="AC15" s="385">
        <v>750.0000000000005</v>
      </c>
      <c r="AD15" s="385">
        <v>6042.999999999996</v>
      </c>
      <c r="AO15" s="379">
        <v>15.143006936224735</v>
      </c>
    </row>
    <row r="16" spans="1:41" ht="15">
      <c r="A16" s="5">
        <v>9</v>
      </c>
      <c r="B16" s="6" t="s">
        <v>29</v>
      </c>
      <c r="C16" s="85">
        <v>3</v>
      </c>
      <c r="D16" s="36">
        <f>'Anne-6'!D17+'Anne-7'!F17+'Anne-8'!D17</f>
        <v>1391977</v>
      </c>
      <c r="E16" s="56"/>
      <c r="F16" s="36">
        <f t="shared" si="3"/>
        <v>1391977</v>
      </c>
      <c r="G16" s="84">
        <f>'Anne-6'!G17+'Anne-8'!H17</f>
        <v>2473706</v>
      </c>
      <c r="H16" s="36">
        <f>'Anne-6'!S17+'Anne-7'!I17+'Anne-8'!I17</f>
        <v>645919</v>
      </c>
      <c r="I16" s="36">
        <f>'Anne-6'!I17+'Anne-8'!M17</f>
        <v>660662</v>
      </c>
      <c r="J16" s="36"/>
      <c r="K16" s="36"/>
      <c r="L16" s="8">
        <f>'Anne-8'!J17+'Anne-7'!J17</f>
        <v>0</v>
      </c>
      <c r="M16" s="36">
        <f>'Anne-6'!N17</f>
        <v>249095</v>
      </c>
      <c r="N16" s="84">
        <f>'Anne-6'!K17</f>
        <v>1922242</v>
      </c>
      <c r="O16" s="36">
        <f>'Anne-6'!V17</f>
        <v>0</v>
      </c>
      <c r="P16" s="36">
        <f>'Anne-6'!W17</f>
        <v>0</v>
      </c>
      <c r="Q16" s="36">
        <f>+'Anne-7'!L17+'Anne-8'!L17</f>
        <v>0</v>
      </c>
      <c r="R16" s="36"/>
      <c r="S16" s="36"/>
      <c r="T16" s="36">
        <f t="shared" si="1"/>
        <v>5951624</v>
      </c>
      <c r="U16" s="36">
        <f t="shared" si="0"/>
        <v>7343601</v>
      </c>
      <c r="V16" s="139">
        <f>D16/U16*100</f>
        <v>18.954965009673046</v>
      </c>
      <c r="W16" s="57">
        <f t="shared" si="4"/>
        <v>0.6090568118987062</v>
      </c>
      <c r="X16" s="59">
        <f t="shared" si="5"/>
        <v>12057.333333333334</v>
      </c>
      <c r="Y16" s="36">
        <f t="shared" si="2"/>
        <v>12057.333333333334</v>
      </c>
      <c r="Z16" s="58">
        <v>3292.333333333334</v>
      </c>
      <c r="AA16" s="58">
        <v>8765</v>
      </c>
      <c r="AC16" s="73">
        <v>3143.000000000002</v>
      </c>
      <c r="AD16" s="73">
        <v>8574.999999999993</v>
      </c>
      <c r="AO16">
        <v>27.14755839727522</v>
      </c>
    </row>
    <row r="17" spans="1:41" ht="15" customHeight="1">
      <c r="A17" s="5">
        <v>10</v>
      </c>
      <c r="B17" s="6" t="s">
        <v>30</v>
      </c>
      <c r="C17" s="85"/>
      <c r="D17" s="36"/>
      <c r="E17" s="56"/>
      <c r="F17" s="36"/>
      <c r="G17" s="8"/>
      <c r="H17" s="36"/>
      <c r="I17" s="36"/>
      <c r="J17" s="36"/>
      <c r="K17" s="36"/>
      <c r="L17" s="8"/>
      <c r="M17" s="36"/>
      <c r="N17" s="36"/>
      <c r="O17" s="36"/>
      <c r="P17" s="36"/>
      <c r="Q17" s="36"/>
      <c r="R17" s="36"/>
      <c r="S17" s="36"/>
      <c r="T17" s="36">
        <f t="shared" si="1"/>
        <v>0</v>
      </c>
      <c r="U17" s="36">
        <f t="shared" si="0"/>
        <v>0</v>
      </c>
      <c r="V17" s="139"/>
      <c r="W17" s="57" t="e">
        <f t="shared" si="4"/>
        <v>#DIV/0!</v>
      </c>
      <c r="X17" s="59"/>
      <c r="Y17" s="36">
        <f t="shared" si="2"/>
        <v>32475.35635074599</v>
      </c>
      <c r="Z17" s="58">
        <v>7544.076329012458</v>
      </c>
      <c r="AA17" s="58">
        <v>24931.280021733535</v>
      </c>
      <c r="AC17" s="73">
        <v>7330.000000000004</v>
      </c>
      <c r="AD17" s="73">
        <v>24141.999999999985</v>
      </c>
      <c r="AO17">
        <v>16.153439471362844</v>
      </c>
    </row>
    <row r="18" spans="1:41" ht="15">
      <c r="A18" s="5">
        <v>11</v>
      </c>
      <c r="B18" s="6" t="s">
        <v>31</v>
      </c>
      <c r="C18" s="85">
        <v>2</v>
      </c>
      <c r="D18" s="36">
        <f>'Anne-6'!D19+'Anne-7'!F19+'Anne-8'!D19</f>
        <v>8737034</v>
      </c>
      <c r="E18" s="56"/>
      <c r="F18" s="36">
        <f t="shared" si="3"/>
        <v>8737034</v>
      </c>
      <c r="G18" s="84">
        <f>'Anne-6'!G19+'Anne-8'!H19</f>
        <v>16848557</v>
      </c>
      <c r="H18" s="8">
        <f>'Anne-6'!S19+'Anne-7'!I19+'Anne-8'!I19</f>
        <v>6931964</v>
      </c>
      <c r="I18" s="36">
        <f>'Anne-6'!I19+'Anne-8'!M19</f>
        <v>6784551</v>
      </c>
      <c r="J18" s="36">
        <f>G18-D18</f>
        <v>8111523</v>
      </c>
      <c r="K18" s="105">
        <f>J18/D18</f>
        <v>0.9284069399295001</v>
      </c>
      <c r="L18" s="8">
        <f>'Anne-8'!J19+'Anne-7'!J19</f>
        <v>5960519</v>
      </c>
      <c r="M18" s="36">
        <f>'Anne-6'!N19</f>
        <v>6342955</v>
      </c>
      <c r="N18" s="36">
        <f>'Anne-6'!K19</f>
        <v>1918124</v>
      </c>
      <c r="O18" s="36">
        <f>'Anne-6'!V19</f>
        <v>0</v>
      </c>
      <c r="P18" s="36">
        <f>'Anne-6'!W19</f>
        <v>0</v>
      </c>
      <c r="Q18" s="36">
        <f>+'Anne-7'!L19+'Anne-8'!L19</f>
        <v>1983518</v>
      </c>
      <c r="R18" s="36"/>
      <c r="S18" s="36"/>
      <c r="T18" s="36">
        <f t="shared" si="1"/>
        <v>46770188</v>
      </c>
      <c r="U18" s="36">
        <f t="shared" si="0"/>
        <v>55507222</v>
      </c>
      <c r="V18" s="139">
        <f>D18/U18*100</f>
        <v>15.740355372135179</v>
      </c>
      <c r="W18" s="57">
        <f t="shared" si="4"/>
        <v>0.9126375135644683</v>
      </c>
      <c r="X18" s="59">
        <f t="shared" si="5"/>
        <v>60820.66666666666</v>
      </c>
      <c r="Y18" s="36">
        <f t="shared" si="2"/>
        <v>60820.66666666666</v>
      </c>
      <c r="Z18" s="58">
        <v>22944</v>
      </c>
      <c r="AA18" s="58">
        <v>37876.66666666666</v>
      </c>
      <c r="AC18" s="73">
        <v>22097.999999999985</v>
      </c>
      <c r="AD18" s="73">
        <v>37320.99999999997</v>
      </c>
      <c r="AO18">
        <v>16.530629255472277</v>
      </c>
    </row>
    <row r="19" spans="1:41" ht="15">
      <c r="A19" s="5">
        <v>12</v>
      </c>
      <c r="B19" s="6" t="s">
        <v>32</v>
      </c>
      <c r="C19" s="104">
        <v>1</v>
      </c>
      <c r="D19" s="36">
        <f>'Anne-6'!D20+'Anne-7'!F20+'Anne-8'!D20</f>
        <v>10794977</v>
      </c>
      <c r="E19" s="56"/>
      <c r="F19" s="36">
        <f t="shared" si="3"/>
        <v>10794977</v>
      </c>
      <c r="G19" s="8">
        <f>'Anne-6'!G20+'Anne-8'!H20</f>
        <v>3603419</v>
      </c>
      <c r="H19" s="36">
        <f>'Anne-6'!S20+'Anne-7'!I20+'Anne-8'!I20</f>
        <v>3030864</v>
      </c>
      <c r="I19" s="36">
        <f>'Anne-6'!I20+'Anne-8'!M20</f>
        <v>6385292</v>
      </c>
      <c r="J19" s="36"/>
      <c r="K19" s="36"/>
      <c r="L19" s="8">
        <f>'Anne-8'!J20+'Anne-7'!J20</f>
        <v>1717031</v>
      </c>
      <c r="M19" s="36">
        <f>'Anne-6'!N20</f>
        <v>8161641</v>
      </c>
      <c r="N19" s="36">
        <f>'Anne-6'!K20</f>
        <v>29883</v>
      </c>
      <c r="O19" s="36">
        <f>'Anne-6'!V20</f>
        <v>0</v>
      </c>
      <c r="P19" s="36">
        <f>'Anne-6'!W20</f>
        <v>0</v>
      </c>
      <c r="Q19" s="36">
        <f>+'Anne-7'!L20+'Anne-8'!L20</f>
        <v>450599</v>
      </c>
      <c r="R19" s="36"/>
      <c r="S19" s="36"/>
      <c r="T19" s="36">
        <f t="shared" si="1"/>
        <v>23378729</v>
      </c>
      <c r="U19" s="36">
        <f t="shared" si="0"/>
        <v>34173706</v>
      </c>
      <c r="V19" s="139">
        <f>D19/U19*100</f>
        <v>31.5885464690309</v>
      </c>
      <c r="W19" s="57">
        <f t="shared" si="4"/>
        <v>0.9712302051952482</v>
      </c>
      <c r="X19" s="59">
        <f t="shared" si="5"/>
        <v>35186</v>
      </c>
      <c r="Y19" s="36">
        <f t="shared" si="2"/>
        <v>35186</v>
      </c>
      <c r="Z19" s="58">
        <v>8941</v>
      </c>
      <c r="AA19" s="58">
        <v>26245</v>
      </c>
      <c r="AC19" s="73">
        <v>8850.999999999993</v>
      </c>
      <c r="AD19" s="73">
        <v>25788.000000000015</v>
      </c>
      <c r="AO19">
        <v>24.81916077826601</v>
      </c>
    </row>
    <row r="20" spans="1:41" ht="15">
      <c r="A20" s="5">
        <v>13</v>
      </c>
      <c r="B20" s="6" t="s">
        <v>33</v>
      </c>
      <c r="C20" s="85">
        <v>4</v>
      </c>
      <c r="D20" s="36">
        <f>'Anne-6'!D21+'Anne-7'!F21+'Anne-8'!D21</f>
        <v>5889831</v>
      </c>
      <c r="E20" s="56"/>
      <c r="F20" s="36">
        <f t="shared" si="3"/>
        <v>5889831</v>
      </c>
      <c r="G20" s="84">
        <f>'Anne-6'!G21+'Anne-8'!H21</f>
        <v>10475035</v>
      </c>
      <c r="H20" s="84">
        <f>'Anne-6'!S21+'Anne-7'!I21+'Anne-8'!I21</f>
        <v>12836731</v>
      </c>
      <c r="I20" s="36">
        <f>'Anne-6'!I21+'Anne-8'!M21</f>
        <v>4231013</v>
      </c>
      <c r="J20" s="36">
        <f>H20-D20</f>
        <v>6946900</v>
      </c>
      <c r="K20" s="105">
        <f>J20/D20</f>
        <v>1.1794735706338604</v>
      </c>
      <c r="L20" s="8">
        <f>'Anne-8'!J21+'Anne-7'!J21</f>
        <v>3947726</v>
      </c>
      <c r="M20" s="84">
        <f>'Anne-6'!N21</f>
        <v>16070788</v>
      </c>
      <c r="N20" s="36">
        <f>'Anne-6'!K21</f>
        <v>22694</v>
      </c>
      <c r="O20" s="36">
        <f>'Anne-6'!V21</f>
        <v>0</v>
      </c>
      <c r="P20" s="36">
        <f>'Anne-6'!W21</f>
        <v>862831</v>
      </c>
      <c r="Q20" s="36">
        <f>+'Anne-7'!L21+'Anne-8'!L21</f>
        <v>0</v>
      </c>
      <c r="R20" s="36"/>
      <c r="S20" s="36"/>
      <c r="T20" s="36">
        <f t="shared" si="1"/>
        <v>48446818</v>
      </c>
      <c r="U20" s="36">
        <f t="shared" si="0"/>
        <v>54336649</v>
      </c>
      <c r="V20" s="139">
        <f>D20/U20*100</f>
        <v>10.839518277985821</v>
      </c>
      <c r="W20" s="57">
        <f t="shared" si="4"/>
        <v>0.5440411009651966</v>
      </c>
      <c r="X20" s="59">
        <f>Y20+Y12</f>
        <v>99876.00000000003</v>
      </c>
      <c r="Y20" s="36">
        <f>Z20+AA20</f>
        <v>74702.48530083653</v>
      </c>
      <c r="Z20" s="58">
        <v>21074.533556681356</v>
      </c>
      <c r="AA20" s="58">
        <v>53627.95174415517</v>
      </c>
      <c r="AC20" s="73">
        <v>19986.000000000015</v>
      </c>
      <c r="AD20" s="73">
        <v>52213.99999999997</v>
      </c>
      <c r="AO20">
        <v>19.589158143343912</v>
      </c>
    </row>
    <row r="21" spans="1:41" ht="15">
      <c r="A21" s="5">
        <v>14</v>
      </c>
      <c r="B21" s="6" t="s">
        <v>34</v>
      </c>
      <c r="C21" s="85">
        <v>4</v>
      </c>
      <c r="D21" s="36">
        <f>'Anne-6'!D22+'Anne-7'!F22+'Anne-8'!D22</f>
        <v>8582353</v>
      </c>
      <c r="E21" s="56"/>
      <c r="F21" s="36">
        <f t="shared" si="3"/>
        <v>8582353</v>
      </c>
      <c r="G21" s="84">
        <f>'Anne-6'!G22+'Anne-8'!H22</f>
        <v>10103993</v>
      </c>
      <c r="H21" s="8">
        <f>'Anne-6'!S22+'Anne-7'!I22+'Anne-8'!I22</f>
        <v>8207808</v>
      </c>
      <c r="I21" s="84">
        <f>'Anne-6'!I22+'Anne-8'!M22</f>
        <v>13647766</v>
      </c>
      <c r="J21" s="36"/>
      <c r="K21" s="36"/>
      <c r="L21" s="8">
        <f>'Anne-8'!J22+'Anne-7'!J22</f>
        <v>6423762</v>
      </c>
      <c r="M21" s="84">
        <f>'Anne-6'!N22</f>
        <v>16786007</v>
      </c>
      <c r="N21" s="36">
        <f>'Anne-6'!K22</f>
        <v>1246495</v>
      </c>
      <c r="O21" s="36">
        <f>'Anne-6'!V22</f>
        <v>5541113</v>
      </c>
      <c r="P21" s="36">
        <f>'Anne-6'!W22</f>
        <v>0</v>
      </c>
      <c r="Q21" s="36">
        <f>+'Anne-7'!L22+'Anne-8'!L22</f>
        <v>0</v>
      </c>
      <c r="R21" s="36"/>
      <c r="S21" s="36"/>
      <c r="T21" s="36">
        <f t="shared" si="1"/>
        <v>61956944</v>
      </c>
      <c r="U21" s="36">
        <f t="shared" si="0"/>
        <v>70539297</v>
      </c>
      <c r="V21" s="139">
        <f>D21/U21*100</f>
        <v>12.166768546048878</v>
      </c>
      <c r="W21" s="57">
        <f t="shared" si="4"/>
        <v>0.732989111687856</v>
      </c>
      <c r="X21" s="59">
        <f t="shared" si="5"/>
        <v>96235.1225621469</v>
      </c>
      <c r="Y21" s="36">
        <f t="shared" si="2"/>
        <v>96235.1225621469</v>
      </c>
      <c r="Z21" s="58">
        <v>33676.122562146906</v>
      </c>
      <c r="AA21" s="58">
        <v>62559</v>
      </c>
      <c r="AC21" s="73">
        <v>32229.454713109284</v>
      </c>
      <c r="AD21" s="73">
        <v>61292.99999999997</v>
      </c>
      <c r="AO21">
        <v>22.792939248855358</v>
      </c>
    </row>
    <row r="22" spans="1:41" ht="15">
      <c r="A22" s="5">
        <v>15</v>
      </c>
      <c r="B22" s="6" t="s">
        <v>35</v>
      </c>
      <c r="C22" s="85">
        <v>3</v>
      </c>
      <c r="D22" s="36">
        <f>'Anne-6'!D23+'Anne-7'!F23+'Anne-8'!D23</f>
        <v>1937634</v>
      </c>
      <c r="E22" s="56"/>
      <c r="F22" s="36">
        <f t="shared" si="3"/>
        <v>1937634</v>
      </c>
      <c r="G22" s="84">
        <f>'Anne-6'!G23+'Anne-8'!H23</f>
        <v>2808177</v>
      </c>
      <c r="H22" s="36">
        <f>'Anne-6'!S23+'Anne-7'!I23+'Anne-8'!I23</f>
        <v>934206</v>
      </c>
      <c r="I22" s="36">
        <f>'Anne-6'!I23+'Anne-8'!M23</f>
        <v>1064436</v>
      </c>
      <c r="J22" s="36"/>
      <c r="K22" s="36"/>
      <c r="L22" s="8">
        <f>'Anne-8'!J23+'Anne-7'!J23</f>
        <v>0</v>
      </c>
      <c r="M22" s="36">
        <f>'Anne-6'!N23</f>
        <v>315123</v>
      </c>
      <c r="N22" s="84">
        <f>'Anne-6'!K23</f>
        <v>2308267</v>
      </c>
      <c r="O22" s="36">
        <f>'Anne-6'!V23</f>
        <v>0</v>
      </c>
      <c r="P22" s="36">
        <f>'Anne-6'!W23</f>
        <v>0</v>
      </c>
      <c r="Q22" s="36">
        <f>+'Anne-7'!L23+'Anne-8'!L23</f>
        <v>0</v>
      </c>
      <c r="R22" s="36"/>
      <c r="S22" s="36"/>
      <c r="T22" s="36">
        <f t="shared" si="1"/>
        <v>7430209</v>
      </c>
      <c r="U22" s="36">
        <f t="shared" si="0"/>
        <v>9367843</v>
      </c>
      <c r="V22" s="139">
        <f>D22/U22*100</f>
        <v>20.683886354628275</v>
      </c>
      <c r="W22" s="57">
        <f t="shared" si="4"/>
        <v>0.6920006155816016</v>
      </c>
      <c r="X22" s="59">
        <f>Y22+Y23</f>
        <v>13537.33333333333</v>
      </c>
      <c r="Y22" s="36">
        <f t="shared" si="2"/>
        <v>7437.883194042584</v>
      </c>
      <c r="Z22" s="58">
        <v>1848.8757655293089</v>
      </c>
      <c r="AA22" s="58">
        <v>5589.007428513275</v>
      </c>
      <c r="AB22" s="92"/>
      <c r="AC22" s="73">
        <v>1760.999999999999</v>
      </c>
      <c r="AD22" s="73">
        <v>5479.999999999996</v>
      </c>
      <c r="AO22">
        <v>16.756790661203468</v>
      </c>
    </row>
    <row r="23" spans="1:41" ht="15" customHeight="1">
      <c r="A23" s="5">
        <v>16</v>
      </c>
      <c r="B23" s="6" t="s">
        <v>36</v>
      </c>
      <c r="C23" s="104"/>
      <c r="D23" s="36"/>
      <c r="E23" s="56"/>
      <c r="F23" s="36"/>
      <c r="G23" s="8"/>
      <c r="H23" s="36"/>
      <c r="I23" s="36"/>
      <c r="J23" s="36"/>
      <c r="K23" s="36"/>
      <c r="L23" s="8"/>
      <c r="M23" s="36"/>
      <c r="N23" s="36"/>
      <c r="O23" s="36"/>
      <c r="P23" s="36"/>
      <c r="Q23" s="36"/>
      <c r="R23" s="36"/>
      <c r="S23" s="36"/>
      <c r="T23" s="36">
        <f t="shared" si="1"/>
        <v>0</v>
      </c>
      <c r="U23" s="36">
        <f t="shared" si="0"/>
        <v>0</v>
      </c>
      <c r="V23" s="139"/>
      <c r="W23" s="57" t="e">
        <f t="shared" si="4"/>
        <v>#DIV/0!</v>
      </c>
      <c r="X23" s="59"/>
      <c r="Y23" s="36">
        <f t="shared" si="2"/>
        <v>6099.450139290746</v>
      </c>
      <c r="Z23" s="58">
        <v>1477.7909011373565</v>
      </c>
      <c r="AA23" s="58">
        <v>4621.659238153389</v>
      </c>
      <c r="AC23" s="73">
        <v>1412.000000000001</v>
      </c>
      <c r="AD23" s="73">
        <v>4527</v>
      </c>
      <c r="AO23">
        <v>14.95800929070746</v>
      </c>
    </row>
    <row r="24" spans="1:41" ht="15">
      <c r="A24" s="5">
        <v>17</v>
      </c>
      <c r="B24" s="6" t="s">
        <v>37</v>
      </c>
      <c r="C24" s="85">
        <v>2</v>
      </c>
      <c r="D24" s="36">
        <f>'Anne-6'!D25+'Anne-7'!F25+'Anne-8'!D25</f>
        <v>4878574</v>
      </c>
      <c r="E24" s="56"/>
      <c r="F24" s="36">
        <f t="shared" si="3"/>
        <v>4878574</v>
      </c>
      <c r="G24" s="84">
        <f>'Anne-6'!G25+'Anne-8'!H25</f>
        <v>7159241</v>
      </c>
      <c r="H24" s="8">
        <f>'Anne-6'!S25+'Anne-7'!I25+'Anne-8'!I25</f>
        <v>4012296</v>
      </c>
      <c r="I24" s="36">
        <f>'Anne-6'!I25+'Anne-8'!M25</f>
        <v>3164209</v>
      </c>
      <c r="J24" s="36"/>
      <c r="K24" s="36"/>
      <c r="L24" s="8">
        <f>'Anne-8'!J25+'Anne-7'!J25</f>
        <v>2042641</v>
      </c>
      <c r="M24" s="36">
        <f>'Anne-6'!N25</f>
        <v>1067884</v>
      </c>
      <c r="N24" s="36">
        <f>'Anne-6'!K25</f>
        <v>2883004</v>
      </c>
      <c r="O24" s="36">
        <f>'Anne-6'!V25</f>
        <v>0</v>
      </c>
      <c r="P24" s="36">
        <f>'Anne-6'!W25</f>
        <v>0</v>
      </c>
      <c r="Q24" s="36">
        <f>+'Anne-7'!L25+'Anne-8'!L25</f>
        <v>0</v>
      </c>
      <c r="R24" s="36"/>
      <c r="S24" s="36"/>
      <c r="T24" s="36">
        <f t="shared" si="1"/>
        <v>20329275</v>
      </c>
      <c r="U24" s="36">
        <f t="shared" si="0"/>
        <v>25207849</v>
      </c>
      <c r="V24" s="139">
        <f>D24/U24*100</f>
        <v>19.353392667498127</v>
      </c>
      <c r="W24" s="57">
        <f t="shared" si="4"/>
        <v>0.6064292519025205</v>
      </c>
      <c r="X24" s="59">
        <f t="shared" si="5"/>
        <v>41567.66666666666</v>
      </c>
      <c r="Y24" s="36">
        <f t="shared" si="2"/>
        <v>41567.66666666666</v>
      </c>
      <c r="Z24" s="58">
        <v>7151</v>
      </c>
      <c r="AA24" s="58">
        <v>34416.66666666666</v>
      </c>
      <c r="AC24" s="73">
        <v>6831.999999999996</v>
      </c>
      <c r="AD24" s="73">
        <v>33918</v>
      </c>
      <c r="AO24">
        <v>21.103988171760818</v>
      </c>
    </row>
    <row r="25" spans="1:41" ht="15">
      <c r="A25" s="5">
        <v>18</v>
      </c>
      <c r="B25" s="6" t="s">
        <v>38</v>
      </c>
      <c r="C25" s="85">
        <v>3</v>
      </c>
      <c r="D25" s="36">
        <f>'Anne-6'!D26+'Anne-7'!F26+'Anne-8'!D26</f>
        <v>5361042</v>
      </c>
      <c r="E25" s="56"/>
      <c r="F25" s="36">
        <f t="shared" si="3"/>
        <v>5361042</v>
      </c>
      <c r="G25" s="84">
        <f>'Anne-6'!G26+'Anne-8'!H26</f>
        <v>7141059</v>
      </c>
      <c r="H25" s="36">
        <f>'Anne-6'!S26+'Anne-7'!I26+'Anne-8'!I26</f>
        <v>3265629</v>
      </c>
      <c r="I25" s="36">
        <f>'Anne-6'!I26+'Anne-8'!M26</f>
        <v>4483730</v>
      </c>
      <c r="J25" s="36"/>
      <c r="K25" s="36"/>
      <c r="L25" s="8">
        <f>'Anne-8'!J26+'Anne-7'!J26</f>
        <v>2466886</v>
      </c>
      <c r="M25" s="84">
        <f>'Anne-6'!N26</f>
        <v>5842432</v>
      </c>
      <c r="N25" s="36">
        <f>'Anne-6'!K26</f>
        <v>943240</v>
      </c>
      <c r="O25" s="36">
        <f>'Anne-6'!V26</f>
        <v>0</v>
      </c>
      <c r="P25" s="36">
        <f>'Anne-6'!W26</f>
        <v>0</v>
      </c>
      <c r="Q25" s="36">
        <f>+'Anne-7'!L26+'Anne-8'!L26</f>
        <v>0</v>
      </c>
      <c r="R25" s="36">
        <f>'Anne-7'!K26+'Anne-8'!K26</f>
        <v>1615365</v>
      </c>
      <c r="S25" s="36"/>
      <c r="T25" s="36">
        <f t="shared" si="1"/>
        <v>25758341</v>
      </c>
      <c r="U25" s="36">
        <f t="shared" si="0"/>
        <v>31119383</v>
      </c>
      <c r="V25" s="139">
        <f>D25/U25*100</f>
        <v>17.227340272138427</v>
      </c>
      <c r="W25" s="57">
        <f t="shared" si="4"/>
        <v>1.0380393942426365</v>
      </c>
      <c r="X25" s="59">
        <f>Y25</f>
        <v>29979</v>
      </c>
      <c r="Y25" s="36">
        <f t="shared" si="2"/>
        <v>29979</v>
      </c>
      <c r="Z25" s="60">
        <v>12604</v>
      </c>
      <c r="AA25" s="60">
        <v>17375</v>
      </c>
      <c r="AC25" s="73">
        <v>11972.999999999993</v>
      </c>
      <c r="AD25" s="73">
        <v>17143</v>
      </c>
      <c r="AO25">
        <v>15.008714246162974</v>
      </c>
    </row>
    <row r="26" spans="1:41" ht="15">
      <c r="A26" s="5">
        <v>19</v>
      </c>
      <c r="B26" s="6" t="s">
        <v>39</v>
      </c>
      <c r="C26" s="85">
        <v>3</v>
      </c>
      <c r="D26" s="36">
        <f>'Anne-6'!D27+'Anne-7'!F27+'Anne-8'!D27</f>
        <v>6831504</v>
      </c>
      <c r="E26" s="56"/>
      <c r="F26" s="36">
        <f t="shared" si="3"/>
        <v>6831504</v>
      </c>
      <c r="G26" s="84">
        <f>'Anne-6'!G27+'Anne-8'!H27</f>
        <v>14760228</v>
      </c>
      <c r="H26" s="8">
        <f>'Anne-6'!S27+'Anne-7'!I27+'Anne-8'!I27</f>
        <v>5917684</v>
      </c>
      <c r="I26" s="84">
        <f>'Anne-6'!I27+'Anne-8'!M27</f>
        <v>9199117</v>
      </c>
      <c r="J26" s="36">
        <f>G26-D26</f>
        <v>7928724</v>
      </c>
      <c r="K26" s="105">
        <f>J26/D26</f>
        <v>1.1606117774358327</v>
      </c>
      <c r="L26" s="8">
        <f>'Anne-8'!J27+'Anne-7'!J27</f>
        <v>2668612</v>
      </c>
      <c r="M26" s="36">
        <f>'Anne-6'!N27</f>
        <v>5558442</v>
      </c>
      <c r="N26" s="36">
        <f>'Anne-6'!K27</f>
        <v>3360486</v>
      </c>
      <c r="O26" s="36">
        <f>'Anne-6'!V27</f>
        <v>0</v>
      </c>
      <c r="P26" s="36">
        <f>'Anne-6'!W27</f>
        <v>0</v>
      </c>
      <c r="Q26" s="36">
        <f>+'Anne-7'!L27+'Anne-8'!L27</f>
        <v>2216975</v>
      </c>
      <c r="R26" s="36"/>
      <c r="S26" s="36"/>
      <c r="T26" s="36">
        <f t="shared" si="1"/>
        <v>43681544</v>
      </c>
      <c r="U26" s="36">
        <f t="shared" si="0"/>
        <v>50513048</v>
      </c>
      <c r="V26" s="139">
        <f>D26/U26*100</f>
        <v>13.524236351764005</v>
      </c>
      <c r="W26" s="57">
        <f t="shared" si="4"/>
        <v>0.7187093322709617</v>
      </c>
      <c r="X26" s="59">
        <f t="shared" si="5"/>
        <v>70283</v>
      </c>
      <c r="Y26" s="36">
        <f t="shared" si="2"/>
        <v>70283</v>
      </c>
      <c r="Z26" s="58">
        <v>16887</v>
      </c>
      <c r="AA26" s="58">
        <v>53396</v>
      </c>
      <c r="AC26" s="73">
        <v>16214.999999999993</v>
      </c>
      <c r="AD26" s="73">
        <v>51615.00000000003</v>
      </c>
      <c r="AF26" s="83"/>
      <c r="AO26">
        <v>12.587224104140947</v>
      </c>
    </row>
    <row r="27" spans="1:41" ht="15">
      <c r="A27" s="5">
        <v>20</v>
      </c>
      <c r="B27" s="6" t="s">
        <v>40</v>
      </c>
      <c r="C27" s="85">
        <v>4</v>
      </c>
      <c r="D27" s="36">
        <f>'Anne-6'!D28+'Anne-7'!F28+'Anne-8'!D28</f>
        <v>9616456</v>
      </c>
      <c r="E27" s="56"/>
      <c r="F27" s="36">
        <f t="shared" si="3"/>
        <v>9616456</v>
      </c>
      <c r="G27" s="84">
        <f>'Anne-6'!G28+'Anne-8'!H28</f>
        <v>10060614</v>
      </c>
      <c r="H27" s="36">
        <f>'Anne-6'!S28+'Anne-7'!I28+'Anne-8'!I28</f>
        <v>5951604</v>
      </c>
      <c r="I27" s="84">
        <f>'Anne-6'!I28+'Anne-8'!M28</f>
        <v>10281640</v>
      </c>
      <c r="J27" s="36"/>
      <c r="K27" s="36"/>
      <c r="L27" s="8">
        <f>'Anne-8'!J28+'Anne-7'!J28</f>
        <v>3888898</v>
      </c>
      <c r="M27" s="36">
        <f>'Anne-6'!N28</f>
        <v>2352639</v>
      </c>
      <c r="N27" s="84">
        <f>'Anne-6'!K28</f>
        <v>17611411</v>
      </c>
      <c r="O27" s="36">
        <f>'Anne-6'!V28</f>
        <v>0</v>
      </c>
      <c r="P27" s="36">
        <f>'Anne-6'!W28</f>
        <v>0</v>
      </c>
      <c r="Q27" s="36">
        <f>+'Anne-7'!L28+'Anne-8'!L28</f>
        <v>1161453</v>
      </c>
      <c r="R27" s="36"/>
      <c r="S27" s="36"/>
      <c r="T27" s="36">
        <f t="shared" si="1"/>
        <v>51308259</v>
      </c>
      <c r="U27" s="36">
        <f t="shared" si="0"/>
        <v>60924715</v>
      </c>
      <c r="V27" s="139">
        <f>D27/U27*100</f>
        <v>15.784162470025507</v>
      </c>
      <c r="W27" s="57">
        <f t="shared" si="4"/>
        <v>1.0369999989028618</v>
      </c>
      <c r="X27" s="59">
        <f t="shared" si="5"/>
        <v>58750.93063110694</v>
      </c>
      <c r="Y27" s="36">
        <f t="shared" si="2"/>
        <v>58750.93063110694</v>
      </c>
      <c r="Z27" s="58">
        <v>28434.263964440266</v>
      </c>
      <c r="AA27" s="58">
        <v>30316.66666666667</v>
      </c>
      <c r="AC27" s="73">
        <v>28884.322622685115</v>
      </c>
      <c r="AD27" s="73">
        <v>31167.000000000015</v>
      </c>
      <c r="AE27">
        <f>Z27/Z34*AC34</f>
        <v>27252.5992142911</v>
      </c>
      <c r="AG27" s="83">
        <f>AC27-AE27</f>
        <v>1631.723408394013</v>
      </c>
      <c r="AJ27">
        <v>26706.5786431153</v>
      </c>
      <c r="AL27">
        <v>2177.7439795698156</v>
      </c>
      <c r="AO27">
        <v>17.403789555135774</v>
      </c>
    </row>
    <row r="28" spans="1:41" ht="15" customHeight="1">
      <c r="A28" s="5">
        <v>21</v>
      </c>
      <c r="B28" s="6" t="s">
        <v>41</v>
      </c>
      <c r="C28" s="104"/>
      <c r="D28" s="36"/>
      <c r="E28" s="56"/>
      <c r="F28" s="36"/>
      <c r="G28" s="8"/>
      <c r="H28" s="36"/>
      <c r="I28" s="36"/>
      <c r="J28" s="36"/>
      <c r="K28" s="36"/>
      <c r="L28" s="8"/>
      <c r="M28" s="36"/>
      <c r="N28" s="36"/>
      <c r="O28" s="36"/>
      <c r="P28" s="36"/>
      <c r="Q28" s="36"/>
      <c r="R28" s="36"/>
      <c r="S28" s="36"/>
      <c r="T28" s="36">
        <f t="shared" si="1"/>
        <v>0</v>
      </c>
      <c r="U28" s="36">
        <f t="shared" si="0"/>
        <v>0</v>
      </c>
      <c r="V28" s="139"/>
      <c r="W28" s="57" t="e">
        <f t="shared" si="4"/>
        <v>#DIV/0!</v>
      </c>
      <c r="X28" s="59"/>
      <c r="Y28" s="36">
        <f t="shared" si="2"/>
        <v>10422.353678517728</v>
      </c>
      <c r="Z28" s="58">
        <v>2962.9337891890686</v>
      </c>
      <c r="AA28" s="58">
        <v>7459.419889328658</v>
      </c>
      <c r="AC28" s="73">
        <v>2819.999999999998</v>
      </c>
      <c r="AD28" s="73">
        <v>7123</v>
      </c>
      <c r="AO28">
        <v>17.777692701541735</v>
      </c>
    </row>
    <row r="29" spans="1:41" ht="15">
      <c r="A29" s="5">
        <v>22</v>
      </c>
      <c r="B29" s="6" t="s">
        <v>42</v>
      </c>
      <c r="C29" s="85">
        <v>3</v>
      </c>
      <c r="D29" s="36">
        <f>'Anne-6'!D30+'Anne-7'!F30+'Anne-8'!D30</f>
        <v>11331819</v>
      </c>
      <c r="E29" s="56"/>
      <c r="F29" s="36">
        <f t="shared" si="3"/>
        <v>11331819</v>
      </c>
      <c r="G29" s="84">
        <f>'Anne-6'!G30+'Anne-8'!H30</f>
        <v>15629506</v>
      </c>
      <c r="H29" s="8">
        <f>'Anne-6'!S30+'Anne-7'!I30+'Anne-8'!I30</f>
        <v>10008322</v>
      </c>
      <c r="I29" s="84">
        <f>'Anne-6'!I30+'Anne-8'!M30</f>
        <v>15291228</v>
      </c>
      <c r="J29" s="36"/>
      <c r="K29" s="36"/>
      <c r="L29" s="8">
        <f>'Anne-8'!J30+'Anne-7'!J30</f>
        <v>4213424</v>
      </c>
      <c r="M29" s="36">
        <f>'Anne-6'!N30</f>
        <v>7930109</v>
      </c>
      <c r="N29" s="36">
        <f>'Anne-6'!K30</f>
        <v>4219738</v>
      </c>
      <c r="O29" s="36">
        <f>'Anne-6'!V30</f>
        <v>7440256</v>
      </c>
      <c r="P29" s="36">
        <f>'Anne-6'!W30</f>
        <v>0</v>
      </c>
      <c r="Q29" s="36">
        <f>+'Anne-7'!L30+'Anne-8'!L30</f>
        <v>0</v>
      </c>
      <c r="R29" s="36"/>
      <c r="S29" s="36"/>
      <c r="T29" s="36">
        <f t="shared" si="1"/>
        <v>64732583</v>
      </c>
      <c r="U29" s="36">
        <f t="shared" si="0"/>
        <v>76064402</v>
      </c>
      <c r="V29" s="139">
        <f aca="true" t="shared" si="6" ref="V29:V37">D29/U29*100</f>
        <v>14.897663955867294</v>
      </c>
      <c r="W29" s="57">
        <f t="shared" si="4"/>
        <v>0.5311161183139701</v>
      </c>
      <c r="X29" s="59">
        <f t="shared" si="5"/>
        <v>143216.14309403131</v>
      </c>
      <c r="Y29" s="36">
        <f t="shared" si="2"/>
        <v>143216.14309403131</v>
      </c>
      <c r="Z29" s="60">
        <v>24621.281487657227</v>
      </c>
      <c r="AA29" s="60">
        <v>118594.86160637409</v>
      </c>
      <c r="AB29" s="24"/>
      <c r="AC29" s="73">
        <v>44060.00000000003</v>
      </c>
      <c r="AD29" s="73">
        <v>156704</v>
      </c>
      <c r="AE29" s="73">
        <f>Z29/(Z29+Z30)*AC29</f>
        <v>23369.330574472053</v>
      </c>
      <c r="AF29">
        <f>AA29/(AA29+AA30)*AD29</f>
        <v>114487.74235394527</v>
      </c>
      <c r="AJ29">
        <v>23369.330574472053</v>
      </c>
      <c r="AK29">
        <v>114487.74235394527</v>
      </c>
      <c r="AO29">
        <v>17.342870722304156</v>
      </c>
    </row>
    <row r="30" spans="1:41" ht="15">
      <c r="A30" s="5">
        <v>23</v>
      </c>
      <c r="B30" s="6" t="s">
        <v>43</v>
      </c>
      <c r="C30" s="85">
        <v>5</v>
      </c>
      <c r="D30" s="36">
        <f>'Anne-6'!D31+'Anne-7'!F31+'Anne-8'!D31</f>
        <v>5382617</v>
      </c>
      <c r="E30" s="56"/>
      <c r="F30" s="36">
        <f t="shared" si="3"/>
        <v>5382617</v>
      </c>
      <c r="G30" s="84">
        <f>'Anne-6'!G31+'Anne-8'!H31</f>
        <v>6645957</v>
      </c>
      <c r="H30" s="84">
        <f>'Anne-6'!S31+'Anne-7'!I31+'Anne-8'!I31</f>
        <v>6845590</v>
      </c>
      <c r="I30" s="84">
        <f>'Anne-6'!I31+'Anne-8'!M31</f>
        <v>9604532</v>
      </c>
      <c r="J30" s="36"/>
      <c r="K30" s="36"/>
      <c r="L30" s="8">
        <f>'Anne-8'!J31+'Anne-7'!J31</f>
        <v>3779138</v>
      </c>
      <c r="M30" s="84">
        <f>'Anne-6'!N31</f>
        <v>10972813</v>
      </c>
      <c r="N30" s="36">
        <f>'Anne-6'!K31</f>
        <v>109150</v>
      </c>
      <c r="O30" s="36">
        <f>'Anne-6'!V31</f>
        <v>5262422</v>
      </c>
      <c r="P30" s="36">
        <f>'Anne-6'!W31</f>
        <v>0</v>
      </c>
      <c r="Q30" s="36">
        <f>+'Anne-7'!L31+'Anne-8'!L31</f>
        <v>379458</v>
      </c>
      <c r="R30" s="36"/>
      <c r="S30" s="36"/>
      <c r="T30" s="36">
        <f t="shared" si="1"/>
        <v>43599060</v>
      </c>
      <c r="U30" s="36">
        <f t="shared" si="0"/>
        <v>48981677</v>
      </c>
      <c r="V30" s="139">
        <f t="shared" si="6"/>
        <v>10.989041881926582</v>
      </c>
      <c r="W30" s="57">
        <f t="shared" si="4"/>
        <v>0.6449014418896124</v>
      </c>
      <c r="X30" s="59">
        <f>Y30+Y28</f>
        <v>75952.190239302</v>
      </c>
      <c r="Y30" s="36">
        <f>Z30+AA30</f>
        <v>65529.836560784264</v>
      </c>
      <c r="Z30" s="60">
        <v>21799.118056487</v>
      </c>
      <c r="AA30" s="60">
        <v>43730.71850429726</v>
      </c>
      <c r="AB30" s="73"/>
      <c r="AC30" s="73">
        <v>10554.608454484804</v>
      </c>
      <c r="AD30" s="73">
        <v>64539.00000000003</v>
      </c>
      <c r="AE30" s="83">
        <f>AC29-AE29</f>
        <v>20690.669425527976</v>
      </c>
      <c r="AF30" s="73">
        <f>AD29-AF29</f>
        <v>42216.25764605473</v>
      </c>
      <c r="AG30" s="73"/>
      <c r="AJ30">
        <v>20690.669425527976</v>
      </c>
      <c r="AK30">
        <v>42216.25764605473</v>
      </c>
      <c r="AO30">
        <v>0</v>
      </c>
    </row>
    <row r="31" spans="1:41" ht="15">
      <c r="A31" s="5">
        <v>24</v>
      </c>
      <c r="B31" s="6" t="s">
        <v>44</v>
      </c>
      <c r="C31" s="85">
        <v>4</v>
      </c>
      <c r="D31" s="36">
        <f>'Anne-6'!D32+'Anne-7'!F32+'Anne-8'!D32</f>
        <v>3532147</v>
      </c>
      <c r="E31" s="56"/>
      <c r="F31" s="36">
        <f t="shared" si="3"/>
        <v>3532147</v>
      </c>
      <c r="G31" s="84">
        <f>'Anne-6'!G32+'Anne-8'!H32</f>
        <v>9418336</v>
      </c>
      <c r="H31" s="84">
        <f>'Anne-6'!S32+'Anne-7'!I32+'Anne-8'!I32</f>
        <v>7384588</v>
      </c>
      <c r="I31" s="84">
        <f>'Anne-6'!I32+'Anne-8'!M32</f>
        <v>11836468</v>
      </c>
      <c r="J31" s="36">
        <f>I31-D31</f>
        <v>8304321</v>
      </c>
      <c r="K31" s="105">
        <f>J31/D31</f>
        <v>2.3510689107786282</v>
      </c>
      <c r="L31" s="8">
        <f>'Anne-8'!J32+'Anne-7'!J32</f>
        <v>1868624</v>
      </c>
      <c r="M31" s="36">
        <f>'Anne-6'!N32</f>
        <v>2811705</v>
      </c>
      <c r="N31" s="36">
        <f>'Anne-6'!K32</f>
        <v>3176579</v>
      </c>
      <c r="O31" s="36">
        <f>'Anne-6'!V32</f>
        <v>0</v>
      </c>
      <c r="P31" s="36">
        <f>'Anne-6'!W32</f>
        <v>0</v>
      </c>
      <c r="Q31" s="36">
        <f>+'Anne-7'!L32+'Anne-8'!L32</f>
        <v>1770490</v>
      </c>
      <c r="R31" s="36"/>
      <c r="S31" s="36"/>
      <c r="T31" s="36">
        <f t="shared" si="1"/>
        <v>38266790</v>
      </c>
      <c r="U31" s="36">
        <f t="shared" si="0"/>
        <v>41798937</v>
      </c>
      <c r="V31" s="139">
        <f t="shared" si="6"/>
        <v>8.450327337271759</v>
      </c>
      <c r="W31" s="57">
        <f t="shared" si="4"/>
        <v>0.5415951126470007</v>
      </c>
      <c r="X31" s="59">
        <f>Y31+Y8</f>
        <v>77177.46342966649</v>
      </c>
      <c r="Y31" s="36">
        <f t="shared" si="2"/>
        <v>76693.10157598992</v>
      </c>
      <c r="Z31" s="58">
        <v>10797.653792388219</v>
      </c>
      <c r="AA31" s="58">
        <v>65895.4477836017</v>
      </c>
      <c r="AC31" s="73">
        <v>15017.39154551519</v>
      </c>
      <c r="AD31" s="73">
        <v>0</v>
      </c>
      <c r="AO31">
        <v>0</v>
      </c>
    </row>
    <row r="32" spans="1:41" ht="15">
      <c r="A32" s="5">
        <v>25</v>
      </c>
      <c r="B32" s="6" t="s">
        <v>45</v>
      </c>
      <c r="C32" s="85">
        <v>4</v>
      </c>
      <c r="D32" s="36">
        <f>'Anne-6'!D33+'Anne-7'!F33+'Anne-8'!D33</f>
        <v>3201657</v>
      </c>
      <c r="E32" s="56"/>
      <c r="F32" s="36">
        <f t="shared" si="3"/>
        <v>3201657</v>
      </c>
      <c r="G32" s="84">
        <f>'Anne-6'!G33+'Anne-8'!H33</f>
        <v>3786390</v>
      </c>
      <c r="H32" s="84">
        <f>'Anne-6'!S33+'Anne-7'!I33+'Anne-8'!I33</f>
        <v>4379060</v>
      </c>
      <c r="I32" s="84">
        <f>'Anne-6'!I33+'Anne-8'!M33</f>
        <v>4336236</v>
      </c>
      <c r="J32" s="36"/>
      <c r="K32" s="36"/>
      <c r="L32" s="8">
        <f>'Anne-8'!J33+'Anne-7'!J33</f>
        <v>2876674</v>
      </c>
      <c r="M32" s="36">
        <f>'Anne-6'!N33</f>
        <v>1371401</v>
      </c>
      <c r="N32" s="36">
        <f>'Anne-6'!K33</f>
        <v>1939653</v>
      </c>
      <c r="O32" s="36">
        <f>'Anne-6'!V33</f>
        <v>0</v>
      </c>
      <c r="P32" s="36">
        <f>'Anne-6'!W33</f>
        <v>0</v>
      </c>
      <c r="Q32" s="36">
        <f>+'Anne-7'!L33+'Anne-8'!L33</f>
        <v>778263</v>
      </c>
      <c r="R32" s="36"/>
      <c r="S32" s="36"/>
      <c r="T32" s="36">
        <f t="shared" si="1"/>
        <v>19467677</v>
      </c>
      <c r="U32" s="36">
        <f t="shared" si="0"/>
        <v>22669334</v>
      </c>
      <c r="V32" s="139">
        <f t="shared" si="6"/>
        <v>14.123295373388562</v>
      </c>
      <c r="W32" s="57">
        <f t="shared" si="4"/>
        <v>1.475560379583079</v>
      </c>
      <c r="X32" s="59">
        <f t="shared" si="5"/>
        <v>15363.2032370002</v>
      </c>
      <c r="Y32" s="36">
        <f t="shared" si="2"/>
        <v>15363.2032370002</v>
      </c>
      <c r="Z32" s="58">
        <v>15363.2032370002</v>
      </c>
      <c r="AA32" s="58">
        <v>0</v>
      </c>
      <c r="AC32" s="73">
        <v>8783.677377314893</v>
      </c>
      <c r="AD32" s="73">
        <v>0</v>
      </c>
      <c r="AG32" s="83">
        <f>AC32+AG27</f>
        <v>10415.400785708905</v>
      </c>
      <c r="AL32">
        <v>10961.421356884708</v>
      </c>
      <c r="AO32">
        <v>15.656343252003001</v>
      </c>
    </row>
    <row r="33" spans="1:30" ht="15">
      <c r="A33" s="5">
        <v>26</v>
      </c>
      <c r="B33" s="6" t="s">
        <v>46</v>
      </c>
      <c r="C33" s="85">
        <v>3</v>
      </c>
      <c r="D33" s="36">
        <f>'Anne-6'!D34+'Anne-7'!F34+'Anne-8'!D34</f>
        <v>2339808</v>
      </c>
      <c r="E33" s="56"/>
      <c r="F33" s="36">
        <f t="shared" si="3"/>
        <v>2339808</v>
      </c>
      <c r="G33" s="84">
        <f>'Anne-6'!G34+'Anne-8'!H34</f>
        <v>4079953</v>
      </c>
      <c r="H33" s="36">
        <f>'Anne-6'!S34+'Anne-7'!I34+'Anne-8'!I34</f>
        <v>1008550</v>
      </c>
      <c r="I33" s="36">
        <f>'Anne-6'!I34+'Anne-8'!M34</f>
        <v>2152605</v>
      </c>
      <c r="J33" s="36">
        <f>G33-D33</f>
        <v>1740145</v>
      </c>
      <c r="K33" s="105">
        <f>J33/D33</f>
        <v>0.7437127319848467</v>
      </c>
      <c r="L33" s="8">
        <f>'Anne-8'!J34+'Anne-7'!J34</f>
        <v>1414752</v>
      </c>
      <c r="M33" s="36">
        <f>'Anne-6'!N34</f>
        <v>0</v>
      </c>
      <c r="N33" s="84">
        <f>'Anne-6'!K34</f>
        <v>3975573</v>
      </c>
      <c r="O33" s="36">
        <f>'Anne-6'!V34</f>
        <v>0</v>
      </c>
      <c r="P33" s="36">
        <f>'Anne-6'!W34</f>
        <v>0</v>
      </c>
      <c r="Q33" s="36">
        <f>+'Anne-7'!L34+'Anne-8'!L34</f>
        <v>0</v>
      </c>
      <c r="R33" s="36"/>
      <c r="S33" s="36"/>
      <c r="T33" s="36">
        <f t="shared" si="1"/>
        <v>12631433</v>
      </c>
      <c r="U33" s="36">
        <f t="shared" si="0"/>
        <v>14971241</v>
      </c>
      <c r="V33" s="139">
        <f t="shared" si="6"/>
        <v>15.628684355558766</v>
      </c>
      <c r="W33" s="57">
        <f t="shared" si="4"/>
        <v>1.3395154313147088</v>
      </c>
      <c r="X33" s="59">
        <f t="shared" si="5"/>
        <v>11176.609578365225</v>
      </c>
      <c r="Y33" s="36">
        <f t="shared" si="2"/>
        <v>11176.609578365225</v>
      </c>
      <c r="Z33" s="58">
        <v>11176.609578365225</v>
      </c>
      <c r="AA33" s="61">
        <v>0</v>
      </c>
      <c r="AC33" s="73"/>
      <c r="AD33" s="73"/>
    </row>
    <row r="34" spans="1:33" ht="15">
      <c r="A34" s="5"/>
      <c r="B34" s="7" t="s">
        <v>47</v>
      </c>
      <c r="C34" s="45">
        <v>3</v>
      </c>
      <c r="D34" s="8">
        <f aca="true" t="shared" si="7" ref="D34:U34">SUM(D8:D33)</f>
        <v>117881016</v>
      </c>
      <c r="E34" s="8">
        <f t="shared" si="7"/>
        <v>0</v>
      </c>
      <c r="F34" s="8">
        <f t="shared" si="7"/>
        <v>117881016</v>
      </c>
      <c r="G34" s="8">
        <f t="shared" si="7"/>
        <v>179506208</v>
      </c>
      <c r="H34" s="8">
        <f t="shared" si="7"/>
        <v>112691149</v>
      </c>
      <c r="I34" s="8">
        <f t="shared" si="7"/>
        <v>139925973</v>
      </c>
      <c r="J34" s="8">
        <f t="shared" si="7"/>
        <v>66959654</v>
      </c>
      <c r="K34" s="8">
        <f t="shared" si="7"/>
        <v>12.644167584310928</v>
      </c>
      <c r="L34" s="8">
        <f t="shared" si="7"/>
        <v>58921974</v>
      </c>
      <c r="M34" s="8">
        <f t="shared" si="7"/>
        <v>116923993</v>
      </c>
      <c r="N34" s="8">
        <f t="shared" si="7"/>
        <v>56453100</v>
      </c>
      <c r="O34" s="8">
        <f t="shared" si="7"/>
        <v>32295872</v>
      </c>
      <c r="P34" s="8">
        <f t="shared" si="7"/>
        <v>2417993</v>
      </c>
      <c r="Q34" s="36">
        <f>SUM(Q8:Q33)</f>
        <v>8941410</v>
      </c>
      <c r="R34" s="36">
        <f t="shared" si="7"/>
        <v>1615365</v>
      </c>
      <c r="S34" s="36"/>
      <c r="T34" s="36">
        <f t="shared" si="1"/>
        <v>709693037</v>
      </c>
      <c r="U34" s="36">
        <f t="shared" si="7"/>
        <v>827574053</v>
      </c>
      <c r="V34" s="139">
        <f t="shared" si="6"/>
        <v>14.24416528921793</v>
      </c>
      <c r="W34" s="91">
        <f t="shared" si="4"/>
        <v>0.6971255913162665</v>
      </c>
      <c r="X34" s="36">
        <f>SUM(X8:X33)</f>
        <v>1187123.329438286</v>
      </c>
      <c r="Y34" s="36">
        <f>SUM(Y8:Y33)</f>
        <v>1187123.329438286</v>
      </c>
      <c r="Z34" s="62">
        <f>SUM(Z8:Z33)</f>
        <v>333283.9961049524</v>
      </c>
      <c r="AA34" s="62">
        <f>SUM(AA8:AA33)</f>
        <v>853839.3333333333</v>
      </c>
      <c r="AC34" s="62">
        <f>SUM(AC8:AC33)</f>
        <v>319433.4547131093</v>
      </c>
      <c r="AD34" s="62">
        <f>SUM(AD8:AD33)</f>
        <v>833716.9999999999</v>
      </c>
      <c r="AG34" s="83"/>
    </row>
    <row r="35" spans="1:30" ht="14.25">
      <c r="A35" s="4">
        <v>27</v>
      </c>
      <c r="B35" s="3" t="s">
        <v>48</v>
      </c>
      <c r="C35" s="3"/>
      <c r="D35" s="56"/>
      <c r="E35" s="96">
        <f>'Anne-6'!E36+'Anne-7'!G36+'Anne-8'!E36</f>
        <v>4197877</v>
      </c>
      <c r="F35" s="36">
        <f t="shared" si="3"/>
        <v>4197877</v>
      </c>
      <c r="G35" s="8">
        <f>'Anne-6'!G36+'Anne-8'!H36</f>
        <v>10493657</v>
      </c>
      <c r="H35" s="36">
        <f>'Anne-6'!S36+'Anne-7'!I36+'Anne-8'!I36</f>
        <v>7977874</v>
      </c>
      <c r="I35" s="36">
        <f>'Anne-6'!I36+'Anne-8'!M36</f>
        <v>8573855</v>
      </c>
      <c r="J35" s="36"/>
      <c r="K35" s="36"/>
      <c r="L35" s="8">
        <f>'Anne-8'!J36+'Anne-7'!J36</f>
        <v>3123640</v>
      </c>
      <c r="M35" s="36">
        <f>'Anne-6'!N36</f>
        <v>4944716</v>
      </c>
      <c r="N35" s="36">
        <f>'Anne-6'!K36</f>
        <v>2956149</v>
      </c>
      <c r="O35" s="36">
        <f>'Anne-6'!V36</f>
        <v>0</v>
      </c>
      <c r="P35" s="36">
        <f>'Anne-6'!W36</f>
        <v>0</v>
      </c>
      <c r="Q35" s="36">
        <f>+'Anne-7'!L36+'Anne-8'!L36</f>
        <v>881544</v>
      </c>
      <c r="R35" s="36"/>
      <c r="S35" s="36"/>
      <c r="T35" s="36">
        <f t="shared" si="1"/>
        <v>38951435</v>
      </c>
      <c r="U35" s="36">
        <f>F35+T35</f>
        <v>43149312</v>
      </c>
      <c r="V35" s="139">
        <f t="shared" si="6"/>
        <v>0</v>
      </c>
      <c r="W35" s="57">
        <f t="shared" si="4"/>
        <v>2.1884689095519874</v>
      </c>
      <c r="X35" s="59">
        <f t="shared" si="5"/>
        <v>19716.66666666666</v>
      </c>
      <c r="Y35" s="36">
        <f t="shared" si="2"/>
        <v>19716.66666666666</v>
      </c>
      <c r="Z35" s="63">
        <v>18898.33333333333</v>
      </c>
      <c r="AA35" s="63">
        <v>818.3333333333335</v>
      </c>
      <c r="AC35" s="73">
        <v>17607.999999999985</v>
      </c>
      <c r="AD35" s="73">
        <v>842.9999999999995</v>
      </c>
    </row>
    <row r="36" spans="1:30" ht="14.25">
      <c r="A36" s="4">
        <v>28</v>
      </c>
      <c r="B36" s="3" t="s">
        <v>49</v>
      </c>
      <c r="C36" s="3"/>
      <c r="D36" s="56"/>
      <c r="E36" s="96">
        <f>'Anne-6'!E37+'Anne-7'!G37+'Anne-8'!E37</f>
        <v>3964370</v>
      </c>
      <c r="F36" s="36">
        <f t="shared" si="3"/>
        <v>3964370</v>
      </c>
      <c r="G36" s="8">
        <f>'Anne-6'!G37+'Anne-8'!H37</f>
        <v>4201645</v>
      </c>
      <c r="H36" s="36">
        <f>'Anne-6'!S37+'Anne-7'!I37+'Anne-8'!I37</f>
        <v>6306460</v>
      </c>
      <c r="I36" s="36">
        <f>'Anne-6'!I37+'Anne-8'!M37</f>
        <v>6575110</v>
      </c>
      <c r="J36" s="36"/>
      <c r="K36" s="36"/>
      <c r="L36" s="8">
        <f>'Anne-8'!J37+'Anne-7'!J37</f>
        <v>4051214</v>
      </c>
      <c r="M36" s="36">
        <f>'Anne-6'!N37</f>
        <v>3099398</v>
      </c>
      <c r="N36" s="36">
        <f>'Anne-6'!K37</f>
        <v>1560725</v>
      </c>
      <c r="O36" s="36">
        <f>'Anne-6'!V37</f>
        <v>0</v>
      </c>
      <c r="P36" s="36">
        <f>'Anne-6'!W37</f>
        <v>0</v>
      </c>
      <c r="Q36" s="36">
        <f>+'Anne-7'!L37+'Anne-8'!L37</f>
        <v>0</v>
      </c>
      <c r="R36" s="36"/>
      <c r="S36" s="36">
        <f>'Anne-6'!X37</f>
        <v>2868751</v>
      </c>
      <c r="T36" s="36">
        <f>G36+H36+L36+I36+M36+N36+S36+R36+Q36+O36+P36</f>
        <v>28663303</v>
      </c>
      <c r="U36" s="36">
        <f>F36+T36</f>
        <v>32627673</v>
      </c>
      <c r="V36" s="139">
        <f t="shared" si="6"/>
        <v>0</v>
      </c>
      <c r="W36" s="57">
        <f t="shared" si="4"/>
        <v>1.493744269400017</v>
      </c>
      <c r="X36" s="59">
        <f t="shared" si="5"/>
        <v>21842.877437853105</v>
      </c>
      <c r="Y36" s="36">
        <f>Z36+AA36</f>
        <v>21842.877437853105</v>
      </c>
      <c r="Z36" s="63">
        <v>21842.877437853105</v>
      </c>
      <c r="AA36" s="63">
        <v>0</v>
      </c>
      <c r="AC36" s="73">
        <v>20904.545286890716</v>
      </c>
      <c r="AD36" s="73">
        <v>0</v>
      </c>
    </row>
    <row r="37" spans="1:31" ht="15">
      <c r="A37" s="4"/>
      <c r="B37" s="3" t="s">
        <v>50</v>
      </c>
      <c r="C37" s="75">
        <v>5</v>
      </c>
      <c r="D37" s="36">
        <f aca="true" t="shared" si="8" ref="D37:U37">SUM(D34:D36)</f>
        <v>117881016</v>
      </c>
      <c r="E37" s="36">
        <f t="shared" si="8"/>
        <v>8162247</v>
      </c>
      <c r="F37" s="36">
        <f t="shared" si="8"/>
        <v>126043263</v>
      </c>
      <c r="G37" s="36">
        <f t="shared" si="8"/>
        <v>194201510</v>
      </c>
      <c r="H37" s="36">
        <f t="shared" si="8"/>
        <v>126975483</v>
      </c>
      <c r="I37" s="36">
        <f t="shared" si="8"/>
        <v>155074938</v>
      </c>
      <c r="J37" s="36">
        <f t="shared" si="8"/>
        <v>66959654</v>
      </c>
      <c r="K37" s="36">
        <f t="shared" si="8"/>
        <v>12.644167584310928</v>
      </c>
      <c r="L37" s="36">
        <f t="shared" si="8"/>
        <v>66096828</v>
      </c>
      <c r="M37" s="36">
        <f t="shared" si="8"/>
        <v>124968107</v>
      </c>
      <c r="N37" s="36">
        <f t="shared" si="8"/>
        <v>60969974</v>
      </c>
      <c r="O37" s="36">
        <f t="shared" si="8"/>
        <v>32295872</v>
      </c>
      <c r="P37" s="36">
        <f t="shared" si="8"/>
        <v>2417993</v>
      </c>
      <c r="Q37" s="8">
        <f>SUM(Q34:Q36)</f>
        <v>9822954</v>
      </c>
      <c r="R37" s="8">
        <f t="shared" si="8"/>
        <v>1615365</v>
      </c>
      <c r="S37" s="8">
        <f>SUM(S34:S36)</f>
        <v>2868751</v>
      </c>
      <c r="T37" s="36">
        <f t="shared" si="1"/>
        <v>777307775</v>
      </c>
      <c r="U37" s="36">
        <f t="shared" si="8"/>
        <v>903351038</v>
      </c>
      <c r="V37" s="146">
        <f t="shared" si="6"/>
        <v>13.049303210077232</v>
      </c>
      <c r="W37" s="57">
        <f t="shared" si="4"/>
        <v>0.7352190361335972</v>
      </c>
      <c r="X37" s="36">
        <f>SUM(X34:X36)</f>
        <v>1228682.8735428057</v>
      </c>
      <c r="Y37" s="36">
        <f t="shared" si="2"/>
        <v>1228682.8735428054</v>
      </c>
      <c r="Z37" s="62">
        <f>Z34+Z35+Z36</f>
        <v>374025.2068761388</v>
      </c>
      <c r="AA37" s="62">
        <f>AA34+AA35+AA36</f>
        <v>854657.6666666666</v>
      </c>
      <c r="AC37" s="62">
        <f>AC34+AC35+AC36</f>
        <v>357946</v>
      </c>
      <c r="AD37" s="62">
        <f>AD34+AD35+AD36</f>
        <v>834559.9999999999</v>
      </c>
      <c r="AE37" s="81">
        <f>AC37+AD37</f>
        <v>1192506</v>
      </c>
    </row>
    <row r="38" spans="1:27" ht="14.25">
      <c r="A38" s="107" t="s">
        <v>51</v>
      </c>
      <c r="B38" s="109"/>
      <c r="C38" s="3"/>
      <c r="D38" s="148">
        <f>D37/U37*100</f>
        <v>13.049303210077232</v>
      </c>
      <c r="E38" s="148">
        <f>E37/U37*100</f>
        <v>0.903552069644049</v>
      </c>
      <c r="F38" s="148">
        <f>F37/U37</f>
        <v>0.13952855279721282</v>
      </c>
      <c r="G38" s="148">
        <f>G37/U37*100</f>
        <v>21.497900797231388</v>
      </c>
      <c r="H38" s="148">
        <f>H37/U37*100</f>
        <v>14.056051043138337</v>
      </c>
      <c r="I38" s="148">
        <f>I37/U37*100</f>
        <v>17.166630852977445</v>
      </c>
      <c r="J38" s="148"/>
      <c r="K38" s="148"/>
      <c r="L38" s="148">
        <f>L37/U37*100</f>
        <v>7.3168486246871405</v>
      </c>
      <c r="M38" s="148">
        <f>M37/U37*100</f>
        <v>13.833836652988934</v>
      </c>
      <c r="N38" s="148">
        <f>N37/U37*100</f>
        <v>6.749311334715044</v>
      </c>
      <c r="O38" s="148">
        <f>O37/U37*100</f>
        <v>3.5751187125995196</v>
      </c>
      <c r="P38" s="148">
        <f>P37/U37*100</f>
        <v>0.2676692557251481</v>
      </c>
      <c r="Q38" s="148">
        <f>Q37/U37*100</f>
        <v>1.0873905698661521</v>
      </c>
      <c r="R38" s="148">
        <f>R37/U37*100</f>
        <v>0.1788191890028027</v>
      </c>
      <c r="S38" s="148">
        <f>S37/U37*100</f>
        <v>0.3175676873468097</v>
      </c>
      <c r="T38" s="148">
        <f>T37/U37*100</f>
        <v>86.04714472027872</v>
      </c>
      <c r="U38" s="148">
        <f>U37/U37*100</f>
        <v>100</v>
      </c>
      <c r="V38" s="95"/>
      <c r="Z38" s="24"/>
      <c r="AA38" s="24"/>
    </row>
    <row r="39" spans="1:31" ht="15" thickBot="1">
      <c r="A39" s="101"/>
      <c r="B39" s="77"/>
      <c r="C39" s="101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77"/>
      <c r="Z39" s="24"/>
      <c r="AA39" s="24"/>
      <c r="AE39" s="81"/>
    </row>
    <row r="40" spans="1:31" ht="15">
      <c r="A40" s="123" t="s">
        <v>229</v>
      </c>
      <c r="B40" s="124"/>
      <c r="C40" s="133">
        <v>3</v>
      </c>
      <c r="D40" s="129">
        <v>118082105</v>
      </c>
      <c r="E40" s="120">
        <v>8449951</v>
      </c>
      <c r="F40" s="120">
        <v>126532056</v>
      </c>
      <c r="G40" s="120">
        <v>192935421</v>
      </c>
      <c r="H40" s="120">
        <v>126141651</v>
      </c>
      <c r="I40" s="120">
        <v>154724403</v>
      </c>
      <c r="J40" s="120">
        <v>66258492</v>
      </c>
      <c r="K40" s="120">
        <v>12.490351167501045</v>
      </c>
      <c r="L40" s="120">
        <v>66734263</v>
      </c>
      <c r="M40" s="120">
        <v>123758712</v>
      </c>
      <c r="N40" s="120">
        <v>60358016</v>
      </c>
      <c r="O40" s="120">
        <v>31999931</v>
      </c>
      <c r="P40" s="120">
        <v>2285177</v>
      </c>
      <c r="Q40" s="120">
        <v>10172127</v>
      </c>
      <c r="R40" s="120">
        <v>1636008</v>
      </c>
      <c r="S40" s="120">
        <v>2925089</v>
      </c>
      <c r="T40" s="120">
        <v>773670798</v>
      </c>
      <c r="U40" s="120">
        <v>900202854</v>
      </c>
      <c r="V40" s="147">
        <f>D40/U40*100</f>
        <v>13.117277342024511</v>
      </c>
      <c r="W40" s="92"/>
      <c r="Y40" s="81"/>
      <c r="Z40" s="24"/>
      <c r="AA40" s="24"/>
      <c r="AE40" s="81"/>
    </row>
    <row r="41" spans="1:27" ht="15.75" thickBot="1">
      <c r="A41" s="125" t="s">
        <v>230</v>
      </c>
      <c r="B41" s="122"/>
      <c r="C41" s="4">
        <v>10</v>
      </c>
      <c r="D41" s="121">
        <f>D37-D40</f>
        <v>-201089</v>
      </c>
      <c r="E41" s="121">
        <f aca="true" t="shared" si="9" ref="E41:R41">E37-E40</f>
        <v>-287704</v>
      </c>
      <c r="F41" s="121">
        <f t="shared" si="9"/>
        <v>-488793</v>
      </c>
      <c r="G41" s="121">
        <f t="shared" si="9"/>
        <v>1266089</v>
      </c>
      <c r="H41" s="121">
        <f t="shared" si="9"/>
        <v>833832</v>
      </c>
      <c r="I41" s="121">
        <f t="shared" si="9"/>
        <v>350535</v>
      </c>
      <c r="J41" s="121">
        <f t="shared" si="9"/>
        <v>701162</v>
      </c>
      <c r="K41" s="121">
        <f t="shared" si="9"/>
        <v>0.15381641680988345</v>
      </c>
      <c r="L41" s="121">
        <f t="shared" si="9"/>
        <v>-637435</v>
      </c>
      <c r="M41" s="121">
        <f t="shared" si="9"/>
        <v>1209395</v>
      </c>
      <c r="N41" s="121">
        <f t="shared" si="9"/>
        <v>611958</v>
      </c>
      <c r="O41" s="121">
        <f>O37-O40</f>
        <v>295941</v>
      </c>
      <c r="P41" s="121">
        <f>P37-P40</f>
        <v>132816</v>
      </c>
      <c r="Q41" s="121">
        <f>Q37-Q40</f>
        <v>-349173</v>
      </c>
      <c r="R41" s="121">
        <f t="shared" si="9"/>
        <v>-20643</v>
      </c>
      <c r="S41" s="121">
        <f>S37-S40</f>
        <v>-56338</v>
      </c>
      <c r="T41" s="121">
        <f>T37-T40</f>
        <v>3636977</v>
      </c>
      <c r="U41" s="121">
        <f>U37-U40</f>
        <v>3148184</v>
      </c>
      <c r="V41" s="414" t="s">
        <v>130</v>
      </c>
      <c r="W41" s="92"/>
      <c r="X41" s="92">
        <f>V40-V37</f>
        <v>0.0679741319472793</v>
      </c>
      <c r="Z41" s="24"/>
      <c r="AA41" s="24"/>
    </row>
    <row r="42" spans="1:24" ht="15">
      <c r="A42" s="123" t="s">
        <v>220</v>
      </c>
      <c r="B42" s="127"/>
      <c r="C42" s="135">
        <v>4</v>
      </c>
      <c r="D42" s="131">
        <v>121652687</v>
      </c>
      <c r="E42" s="132">
        <v>8457710</v>
      </c>
      <c r="F42" s="132">
        <v>130110397</v>
      </c>
      <c r="G42" s="132">
        <v>191479141</v>
      </c>
      <c r="H42" s="132">
        <v>124215343</v>
      </c>
      <c r="I42" s="132">
        <v>152386564</v>
      </c>
      <c r="J42" s="132">
        <v>61551196</v>
      </c>
      <c r="K42" s="132">
        <v>10.008944727071473</v>
      </c>
      <c r="L42" s="132">
        <v>67922137</v>
      </c>
      <c r="M42" s="132">
        <v>121607390</v>
      </c>
      <c r="N42" s="132">
        <v>60071967</v>
      </c>
      <c r="O42" s="132">
        <v>31683600</v>
      </c>
      <c r="P42" s="132">
        <v>2009474</v>
      </c>
      <c r="Q42" s="132">
        <v>11964484</v>
      </c>
      <c r="R42" s="132">
        <v>1555300</v>
      </c>
      <c r="S42" s="132">
        <v>2987976</v>
      </c>
      <c r="T42" s="132">
        <v>767883376</v>
      </c>
      <c r="U42" s="132">
        <v>897993773</v>
      </c>
      <c r="V42" s="147">
        <f>D42/U42*100</f>
        <v>13.547163761902834</v>
      </c>
      <c r="W42" s="92"/>
      <c r="X42" s="92">
        <f>V42-V37</f>
        <v>0.4978605518256014</v>
      </c>
    </row>
    <row r="43" spans="1:23" ht="16.5" thickBot="1">
      <c r="A43" s="126" t="s">
        <v>221</v>
      </c>
      <c r="B43" s="128"/>
      <c r="C43" s="134">
        <v>13</v>
      </c>
      <c r="D43" s="130">
        <f aca="true" t="shared" si="10" ref="D43:U43">D37-D42</f>
        <v>-3771671</v>
      </c>
      <c r="E43" s="130">
        <f t="shared" si="10"/>
        <v>-295463</v>
      </c>
      <c r="F43" s="130">
        <f t="shared" si="10"/>
        <v>-4067134</v>
      </c>
      <c r="G43" s="130">
        <f t="shared" si="10"/>
        <v>2722369</v>
      </c>
      <c r="H43" s="130">
        <f t="shared" si="10"/>
        <v>2760140</v>
      </c>
      <c r="I43" s="130">
        <f t="shared" si="10"/>
        <v>2688374</v>
      </c>
      <c r="J43" s="130">
        <f t="shared" si="10"/>
        <v>5408458</v>
      </c>
      <c r="K43" s="130">
        <f t="shared" si="10"/>
        <v>2.635222857239455</v>
      </c>
      <c r="L43" s="130">
        <f t="shared" si="10"/>
        <v>-1825309</v>
      </c>
      <c r="M43" s="130">
        <f t="shared" si="10"/>
        <v>3360717</v>
      </c>
      <c r="N43" s="130">
        <f t="shared" si="10"/>
        <v>898007</v>
      </c>
      <c r="O43" s="130">
        <f t="shared" si="10"/>
        <v>612272</v>
      </c>
      <c r="P43" s="130">
        <f t="shared" si="10"/>
        <v>408519</v>
      </c>
      <c r="Q43" s="130">
        <f t="shared" si="10"/>
        <v>-2141530</v>
      </c>
      <c r="R43" s="130">
        <f t="shared" si="10"/>
        <v>60065</v>
      </c>
      <c r="S43" s="130">
        <f t="shared" si="10"/>
        <v>-119225</v>
      </c>
      <c r="T43" s="130">
        <f t="shared" si="10"/>
        <v>9424399</v>
      </c>
      <c r="U43" s="130">
        <f t="shared" si="10"/>
        <v>5357265</v>
      </c>
      <c r="V43" s="415" t="s">
        <v>130</v>
      </c>
      <c r="W43" s="92"/>
    </row>
    <row r="44" spans="1:22" ht="15.75" hidden="1">
      <c r="A44" s="168" t="s">
        <v>127</v>
      </c>
      <c r="B44" s="169"/>
      <c r="C44" s="170">
        <v>7</v>
      </c>
      <c r="D44" s="171">
        <f>'Anne-8'!D44</f>
        <v>-555766</v>
      </c>
      <c r="E44" s="172">
        <f>'Anne-8'!E44</f>
        <v>94773</v>
      </c>
      <c r="F44" s="172">
        <f>'Anne-8'!F44</f>
        <v>-460993</v>
      </c>
      <c r="G44" s="172">
        <f>'Anne-8'!G44</f>
        <v>6019</v>
      </c>
      <c r="H44" s="172">
        <f>'Anne-8'!I44</f>
        <v>208</v>
      </c>
      <c r="I44" s="173"/>
      <c r="J44" s="173"/>
      <c r="K44" s="173"/>
      <c r="L44" s="172">
        <f>'Anne-8'!J44</f>
        <v>-35186</v>
      </c>
      <c r="M44" s="173"/>
      <c r="N44" s="173"/>
      <c r="O44" s="172"/>
      <c r="P44" s="173"/>
      <c r="Q44" s="172">
        <f>'Anne-8'!L44</f>
        <v>1154</v>
      </c>
      <c r="R44" s="172">
        <f>'Anne-8'!K44</f>
        <v>8247</v>
      </c>
      <c r="S44" s="173"/>
      <c r="T44" s="172">
        <f>'Anne-8'!N44</f>
        <v>-11398</v>
      </c>
      <c r="U44" s="172">
        <f>'Anne-8'!O44</f>
        <v>-472391</v>
      </c>
      <c r="V44" s="174">
        <f>D44/U44</f>
        <v>1.1764957418748452</v>
      </c>
    </row>
    <row r="45" spans="1:25" ht="15">
      <c r="A45">
        <f>'Anne-5'!A46</f>
        <v>0</v>
      </c>
      <c r="B45" s="26"/>
      <c r="C45" s="26"/>
      <c r="U45" s="24"/>
      <c r="Y45" s="92"/>
    </row>
    <row r="46" spans="2:21" ht="15">
      <c r="B46" s="26"/>
      <c r="C46" s="26"/>
      <c r="U46" s="82"/>
    </row>
    <row r="47" ht="12.75">
      <c r="U47" s="297">
        <f>U41/1000000</f>
        <v>3.148184</v>
      </c>
    </row>
    <row r="48" spans="4:21" ht="12.75">
      <c r="D48" s="380">
        <f>D15/U15*100</f>
        <v>24.80849921416737</v>
      </c>
      <c r="E48" s="380"/>
      <c r="F48" s="380"/>
      <c r="G48" s="380">
        <f>G15/U15*100</f>
        <v>27.958448713520923</v>
      </c>
      <c r="H48" s="380">
        <f>H15/U15*100</f>
        <v>21.597276054866153</v>
      </c>
      <c r="I48" s="380">
        <f>I15/U15*100</f>
        <v>7.182956529620293</v>
      </c>
      <c r="J48" s="380">
        <f>J15/V15*100</f>
        <v>0</v>
      </c>
      <c r="K48" s="380">
        <f>K15/W15*100</f>
        <v>0</v>
      </c>
      <c r="L48" s="380">
        <f>L15/U15*100</f>
        <v>2.325638879524202</v>
      </c>
      <c r="M48" s="380">
        <f>M15/U15*100</f>
        <v>6.759959544553517</v>
      </c>
      <c r="N48" s="380">
        <f>N15/U15*100</f>
        <v>9.36722106374754</v>
      </c>
      <c r="O48" s="380">
        <f>O15/U15*100</f>
        <v>0</v>
      </c>
      <c r="P48" s="380">
        <f>P15/U15*100</f>
        <v>0</v>
      </c>
      <c r="Q48" s="380">
        <f>Q15/U15*100</f>
        <v>0</v>
      </c>
      <c r="R48" s="380">
        <f>R15/U15*100</f>
        <v>0</v>
      </c>
      <c r="S48" s="380">
        <f>S15/U15*100</f>
        <v>0</v>
      </c>
      <c r="U48" s="92">
        <f>U37/1000000</f>
        <v>903.351038</v>
      </c>
    </row>
    <row r="49" spans="4:21" ht="12.75">
      <c r="D49" s="81"/>
      <c r="F49" s="81"/>
      <c r="U49" s="81"/>
    </row>
    <row r="50" spans="4:6" ht="12.75">
      <c r="D50" s="81"/>
      <c r="F50" s="81"/>
    </row>
    <row r="51" ht="12.75">
      <c r="F51" s="81"/>
    </row>
    <row r="52" ht="12.75">
      <c r="D52" s="81"/>
    </row>
    <row r="68" ht="12.75">
      <c r="S68" s="83"/>
    </row>
    <row r="69" ht="12.75">
      <c r="S69" s="83"/>
    </row>
    <row r="70" ht="12.75">
      <c r="S70" s="83"/>
    </row>
    <row r="71" ht="12.75">
      <c r="S71" s="83"/>
    </row>
    <row r="72" ht="12.75">
      <c r="S72" s="83"/>
    </row>
    <row r="73" ht="12.75">
      <c r="S73" s="83"/>
    </row>
    <row r="74" ht="12.75">
      <c r="S74" s="83"/>
    </row>
    <row r="75" ht="12.75">
      <c r="S75" s="83"/>
    </row>
    <row r="76" ht="12.75">
      <c r="S76" s="83"/>
    </row>
    <row r="77" ht="12.75">
      <c r="S77" s="83"/>
    </row>
    <row r="78" ht="12.75">
      <c r="S78" s="83"/>
    </row>
    <row r="79" ht="12.75">
      <c r="S79" s="83"/>
    </row>
    <row r="80" spans="19:20" ht="12.75">
      <c r="S80" s="83"/>
      <c r="T80" s="83"/>
    </row>
  </sheetData>
  <sheetProtection/>
  <mergeCells count="8">
    <mergeCell ref="X6:X7"/>
    <mergeCell ref="W6:W7"/>
    <mergeCell ref="V6:V7"/>
    <mergeCell ref="A6:A7"/>
    <mergeCell ref="B6:B7"/>
    <mergeCell ref="T6:T7"/>
    <mergeCell ref="U6:U7"/>
    <mergeCell ref="C6:C7"/>
  </mergeCells>
  <conditionalFormatting sqref="V9:V36">
    <cfRule type="top10" priority="1" dxfId="1" stopIfTrue="1" rank="5" bottom="1"/>
    <cfRule type="top10" priority="2" dxfId="0" stopIfTrue="1" rank="5" percent="1"/>
  </conditionalFormatting>
  <conditionalFormatting sqref="V9:V37">
    <cfRule type="top10" priority="3" dxfId="1" stopIfTrue="1" rank="5" bottom="1"/>
    <cfRule type="top10" priority="4" dxfId="0" stopIfTrue="1" rank="5"/>
  </conditionalFormatting>
  <printOptions horizontalCentered="1" verticalCentered="1"/>
  <pageMargins left="0.1968503937007874" right="0" top="0.5511811023622047" bottom="0.5511811023622047" header="0.5118110236220472" footer="0.5118110236220472"/>
  <pageSetup horizontalDpi="600" verticalDpi="600" orientation="landscape" paperSize="9" scale="6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44" sqref="C44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2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2.57421875" style="2" customWidth="1"/>
    <col min="11" max="11" width="12.7109375" style="2" customWidth="1"/>
    <col min="12" max="12" width="11.57421875" style="2" customWidth="1"/>
    <col min="13" max="13" width="12.421875" style="2" customWidth="1"/>
    <col min="14" max="14" width="10.57421875" style="2" customWidth="1"/>
    <col min="15" max="15" width="11.7109375" style="2" customWidth="1"/>
    <col min="16" max="16" width="9.8515625" style="2" customWidth="1"/>
    <col min="17" max="17" width="10.00390625" style="2" customWidth="1"/>
    <col min="18" max="18" width="12.7109375" style="2" customWidth="1"/>
    <col min="19" max="19" width="12.8515625" style="2" customWidth="1"/>
    <col min="20" max="20" width="9.28125" style="2" customWidth="1"/>
    <col min="21" max="21" width="11.28125" style="2" customWidth="1"/>
    <col min="22" max="22" width="11.28125" style="2" bestFit="1" customWidth="1"/>
    <col min="23" max="23" width="12.421875" style="2" bestFit="1" customWidth="1"/>
    <col min="24" max="24" width="11.28125" style="2" customWidth="1"/>
    <col min="25" max="16384" width="9.140625" style="2" customWidth="1"/>
  </cols>
  <sheetData>
    <row r="1" spans="5:19" ht="15">
      <c r="E1" s="14"/>
      <c r="S1" s="76" t="s">
        <v>113</v>
      </c>
    </row>
    <row r="2" spans="2:7" ht="14.25">
      <c r="B2" s="2" t="str">
        <f>'Anne-4'!B2</f>
        <v>No. 1-2(1)/Market Share/2012-CP&amp;M </v>
      </c>
      <c r="G2" s="2" t="str">
        <f>'Anne-4'!H2</f>
        <v>Dated: 19th August 2013.</v>
      </c>
    </row>
    <row r="4" spans="2:3" ht="15">
      <c r="B4" s="76" t="s">
        <v>231</v>
      </c>
      <c r="C4" s="76"/>
    </row>
    <row r="5" spans="4:17" ht="14.25">
      <c r="D5" s="90">
        <v>1</v>
      </c>
      <c r="E5" s="90">
        <v>2</v>
      </c>
      <c r="F5" s="90"/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90">
        <v>8</v>
      </c>
      <c r="M5" s="90">
        <v>9</v>
      </c>
      <c r="N5" s="90">
        <v>10</v>
      </c>
      <c r="O5" s="90">
        <v>11</v>
      </c>
      <c r="P5" s="90">
        <v>12</v>
      </c>
      <c r="Q5" s="90">
        <v>13</v>
      </c>
    </row>
    <row r="6" spans="1:20" ht="15" customHeight="1">
      <c r="A6" s="464" t="s">
        <v>19</v>
      </c>
      <c r="B6" s="464" t="s">
        <v>20</v>
      </c>
      <c r="C6" s="45"/>
      <c r="D6" s="175" t="s">
        <v>64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3"/>
      <c r="R6" s="540" t="s">
        <v>53</v>
      </c>
      <c r="S6" s="543" t="s">
        <v>70</v>
      </c>
      <c r="T6" s="535" t="s">
        <v>120</v>
      </c>
    </row>
    <row r="7" spans="1:20" ht="15.75" customHeight="1">
      <c r="A7" s="464"/>
      <c r="B7" s="464"/>
      <c r="C7" s="532" t="s">
        <v>118</v>
      </c>
      <c r="D7" s="546" t="s">
        <v>1</v>
      </c>
      <c r="E7" s="539" t="s">
        <v>2</v>
      </c>
      <c r="F7" s="540" t="s">
        <v>52</v>
      </c>
      <c r="G7" s="530" t="s">
        <v>75</v>
      </c>
      <c r="H7" s="530" t="s">
        <v>132</v>
      </c>
      <c r="I7" s="530" t="s">
        <v>110</v>
      </c>
      <c r="J7" s="531" t="s">
        <v>59</v>
      </c>
      <c r="K7" s="530" t="s">
        <v>11</v>
      </c>
      <c r="L7" s="530" t="s">
        <v>10</v>
      </c>
      <c r="M7" s="538" t="s">
        <v>134</v>
      </c>
      <c r="N7" s="538" t="s">
        <v>144</v>
      </c>
      <c r="O7" s="531" t="s">
        <v>187</v>
      </c>
      <c r="P7" s="531" t="s">
        <v>186</v>
      </c>
      <c r="Q7" s="543" t="s">
        <v>185</v>
      </c>
      <c r="R7" s="541"/>
      <c r="S7" s="541"/>
      <c r="T7" s="536"/>
    </row>
    <row r="8" spans="1:20" ht="35.25" customHeight="1">
      <c r="A8" s="464"/>
      <c r="B8" s="464"/>
      <c r="C8" s="533"/>
      <c r="D8" s="546"/>
      <c r="E8" s="539"/>
      <c r="F8" s="542"/>
      <c r="G8" s="529"/>
      <c r="H8" s="545"/>
      <c r="I8" s="529"/>
      <c r="J8" s="531"/>
      <c r="K8" s="529"/>
      <c r="L8" s="529"/>
      <c r="M8" s="539"/>
      <c r="N8" s="539"/>
      <c r="O8" s="531"/>
      <c r="P8" s="531"/>
      <c r="Q8" s="544"/>
      <c r="R8" s="542"/>
      <c r="S8" s="542"/>
      <c r="T8" s="537"/>
    </row>
    <row r="9" spans="1:20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/>
      <c r="H9" s="8"/>
      <c r="I9" s="8"/>
      <c r="J9" s="8"/>
      <c r="K9" s="8"/>
      <c r="L9" s="9"/>
      <c r="M9" s="8"/>
      <c r="N9" s="35"/>
      <c r="O9" s="8"/>
      <c r="P9" s="8"/>
      <c r="Q9" s="35"/>
      <c r="R9" s="35">
        <f>G9+H9+I9+J9+K9+L9+Q9+P9+O9+M9+N9</f>
        <v>0</v>
      </c>
      <c r="S9" s="36">
        <f aca="true" t="shared" si="0" ref="S9:S34">R9+F9</f>
        <v>0</v>
      </c>
      <c r="T9" s="55"/>
    </row>
    <row r="10" spans="1:23" ht="13.5" customHeight="1">
      <c r="A10" s="5">
        <v>2</v>
      </c>
      <c r="B10" s="6" t="s">
        <v>22</v>
      </c>
      <c r="C10" s="85">
        <v>3</v>
      </c>
      <c r="D10" s="25">
        <f>'Anne-6'!D10+'Anne-7'!F10</f>
        <v>9450473</v>
      </c>
      <c r="E10" s="8"/>
      <c r="F10" s="8">
        <f>D10+E10</f>
        <v>9450473</v>
      </c>
      <c r="G10" s="207">
        <f>'Anne-6'!G10</f>
        <v>18521564</v>
      </c>
      <c r="H10" s="8">
        <f>'Anne-6'!S10+'Anne-7'!I10</f>
        <v>7007940</v>
      </c>
      <c r="I10" s="8">
        <f>'Anne-6'!I10</f>
        <v>5872710</v>
      </c>
      <c r="J10" s="8">
        <f>'Anne-7'!J10</f>
        <v>6417642</v>
      </c>
      <c r="K10" s="84">
        <f>'Anne-6'!N10</f>
        <v>11569388</v>
      </c>
      <c r="L10" s="9">
        <f>'Anne-6'!K10</f>
        <v>1798359</v>
      </c>
      <c r="M10" s="8">
        <f>'Anne-6'!V10</f>
        <v>4450683</v>
      </c>
      <c r="N10" s="35">
        <f>'Anne-6'!W10</f>
        <v>0</v>
      </c>
      <c r="O10" s="8">
        <f>'Anne-7'!L10</f>
        <v>0</v>
      </c>
      <c r="P10" s="8"/>
      <c r="Q10" s="35"/>
      <c r="R10" s="35">
        <f aca="true" t="shared" si="1" ref="R10:R37">G10+H10+I10+J10+K10+L10+Q10+P10+O10+M10+N10</f>
        <v>55638286</v>
      </c>
      <c r="S10" s="36">
        <f t="shared" si="0"/>
        <v>65088759</v>
      </c>
      <c r="T10" s="141">
        <f>D10/S10*100</f>
        <v>14.519362705932066</v>
      </c>
      <c r="W10" s="2">
        <v>9.898448680720525</v>
      </c>
    </row>
    <row r="11" spans="1:23" ht="16.5" customHeight="1">
      <c r="A11" s="5">
        <v>3</v>
      </c>
      <c r="B11" s="6" t="s">
        <v>23</v>
      </c>
      <c r="C11" s="85">
        <v>5</v>
      </c>
      <c r="D11" s="25">
        <f>'Anne-6'!D11+'Anne-7'!F11</f>
        <v>1223813</v>
      </c>
      <c r="E11" s="8"/>
      <c r="F11" s="8">
        <f aca="true" t="shared" si="2" ref="F11:F37">D11+E11</f>
        <v>1223813</v>
      </c>
      <c r="G11" s="207">
        <f>'Anne-6'!G11</f>
        <v>4101733</v>
      </c>
      <c r="H11" s="84">
        <f>'Anne-6'!S11+'Anne-7'!I11</f>
        <v>2921103</v>
      </c>
      <c r="I11" s="84">
        <f>'Anne-6'!I11</f>
        <v>2506043</v>
      </c>
      <c r="J11" s="8">
        <f>'Anne-7'!J11</f>
        <v>0</v>
      </c>
      <c r="K11" s="8">
        <f>'Anne-6'!N11</f>
        <v>440032</v>
      </c>
      <c r="L11" s="439">
        <f>'Anne-6'!K11</f>
        <v>3547608</v>
      </c>
      <c r="M11" s="8">
        <f>'Anne-6'!V11</f>
        <v>0</v>
      </c>
      <c r="N11" s="35">
        <f>'Anne-6'!W11</f>
        <v>0</v>
      </c>
      <c r="O11" s="8">
        <f>'Anne-7'!L11</f>
        <v>0</v>
      </c>
      <c r="P11" s="8"/>
      <c r="Q11" s="35"/>
      <c r="R11" s="35">
        <f t="shared" si="1"/>
        <v>13516519</v>
      </c>
      <c r="S11" s="36">
        <f t="shared" si="0"/>
        <v>14740332</v>
      </c>
      <c r="T11" s="141">
        <f>D11/S11*100</f>
        <v>8.302479211458738</v>
      </c>
      <c r="W11" s="2">
        <v>13.041515395121522</v>
      </c>
    </row>
    <row r="12" spans="1:23" ht="15.75">
      <c r="A12" s="5">
        <v>4</v>
      </c>
      <c r="B12" s="6" t="s">
        <v>24</v>
      </c>
      <c r="C12" s="85">
        <v>7</v>
      </c>
      <c r="D12" s="25">
        <f>'Anne-6'!D12+'Anne-7'!F12</f>
        <v>3821580</v>
      </c>
      <c r="E12" s="8"/>
      <c r="F12" s="8">
        <f t="shared" si="2"/>
        <v>3821580</v>
      </c>
      <c r="G12" s="207">
        <f>'Anne-6'!G12</f>
        <v>20275101</v>
      </c>
      <c r="H12" s="84">
        <f>'Anne-6'!S12+'Anne-7'!I12</f>
        <v>9996096</v>
      </c>
      <c r="I12" s="84">
        <f>'Anne-6'!I12</f>
        <v>6910292</v>
      </c>
      <c r="J12" s="8">
        <f>'Anne-7'!J12</f>
        <v>3504814</v>
      </c>
      <c r="K12" s="84">
        <f>'Anne-6'!N12</f>
        <v>6275862</v>
      </c>
      <c r="L12" s="439">
        <f>'Anne-6'!K12</f>
        <v>4711600</v>
      </c>
      <c r="M12" s="84">
        <f>'Anne-6'!V12</f>
        <v>4517009</v>
      </c>
      <c r="N12" s="35">
        <f>'Anne-6'!W12</f>
        <v>0</v>
      </c>
      <c r="O12" s="8">
        <f>'Anne-7'!L12</f>
        <v>0</v>
      </c>
      <c r="P12" s="8"/>
      <c r="Q12" s="35"/>
      <c r="R12" s="35">
        <f t="shared" si="1"/>
        <v>56190774</v>
      </c>
      <c r="S12" s="36">
        <f t="shared" si="0"/>
        <v>60012354</v>
      </c>
      <c r="T12" s="141">
        <f>D12/S12*100</f>
        <v>6.367988831099676</v>
      </c>
      <c r="W12" s="2">
        <v>12.823562634511095</v>
      </c>
    </row>
    <row r="13" spans="1:23" ht="15">
      <c r="A13" s="5">
        <v>5</v>
      </c>
      <c r="B13" s="6" t="s">
        <v>25</v>
      </c>
      <c r="C13" s="85"/>
      <c r="D13" s="25"/>
      <c r="E13" s="8"/>
      <c r="F13" s="8">
        <f t="shared" si="2"/>
        <v>0</v>
      </c>
      <c r="G13" s="10"/>
      <c r="H13" s="8"/>
      <c r="I13" s="8"/>
      <c r="J13" s="8"/>
      <c r="K13" s="8"/>
      <c r="L13" s="9"/>
      <c r="M13" s="8"/>
      <c r="N13" s="35"/>
      <c r="O13" s="8"/>
      <c r="P13" s="8"/>
      <c r="Q13" s="35"/>
      <c r="R13" s="35">
        <f t="shared" si="1"/>
        <v>0</v>
      </c>
      <c r="S13" s="36">
        <f t="shared" si="0"/>
        <v>0</v>
      </c>
      <c r="T13" s="141"/>
      <c r="W13" s="2">
        <v>10.085041212379718</v>
      </c>
    </row>
    <row r="14" spans="1:23" ht="15.75">
      <c r="A14" s="5">
        <v>6</v>
      </c>
      <c r="B14" s="6" t="s">
        <v>26</v>
      </c>
      <c r="C14" s="85">
        <v>6</v>
      </c>
      <c r="D14" s="25">
        <f>'Anne-6'!D14+'Anne-7'!F14</f>
        <v>4312377</v>
      </c>
      <c r="E14" s="8"/>
      <c r="F14" s="8">
        <f t="shared" si="2"/>
        <v>4312377</v>
      </c>
      <c r="G14" s="207">
        <f>'Anne-6'!G14</f>
        <v>7057857</v>
      </c>
      <c r="H14" s="84">
        <f>'Anne-6'!S14+'Anne-7'!I14</f>
        <v>7193909</v>
      </c>
      <c r="I14" s="84">
        <f>'Anne-6'!I14</f>
        <v>16285515</v>
      </c>
      <c r="J14" s="8">
        <f>'Anne-7'!J14</f>
        <v>2621346</v>
      </c>
      <c r="K14" s="84">
        <f>'Anne-6'!N14</f>
        <v>8466824</v>
      </c>
      <c r="L14" s="9">
        <f>'Anne-6'!K14</f>
        <v>35773</v>
      </c>
      <c r="M14" s="84">
        <f>'Anne-6'!V14</f>
        <v>5084389</v>
      </c>
      <c r="N14" s="35">
        <f>'Anne-6'!W14</f>
        <v>702642</v>
      </c>
      <c r="O14" s="8">
        <f>'Anne-7'!L14</f>
        <v>200654</v>
      </c>
      <c r="P14" s="8"/>
      <c r="Q14" s="35"/>
      <c r="R14" s="35">
        <f t="shared" si="1"/>
        <v>47648909</v>
      </c>
      <c r="S14" s="36">
        <f t="shared" si="0"/>
        <v>51961286</v>
      </c>
      <c r="T14" s="141">
        <f>D14/S14*100</f>
        <v>8.299211455236117</v>
      </c>
      <c r="W14" s="2">
        <v>18.210636334802775</v>
      </c>
    </row>
    <row r="15" spans="1:23" ht="15.75">
      <c r="A15" s="5">
        <v>7</v>
      </c>
      <c r="B15" s="6" t="s">
        <v>27</v>
      </c>
      <c r="C15" s="85">
        <v>3</v>
      </c>
      <c r="D15" s="25">
        <f>'Anne-6'!D15+'Anne-7'!F15</f>
        <v>3082522</v>
      </c>
      <c r="E15" s="8"/>
      <c r="F15" s="8">
        <f t="shared" si="2"/>
        <v>3082522</v>
      </c>
      <c r="G15" s="10">
        <f>'Anne-6'!G15</f>
        <v>2314192</v>
      </c>
      <c r="H15" s="8">
        <f>'Anne-6'!S15+'Anne-7'!I15</f>
        <v>2440545</v>
      </c>
      <c r="I15" s="84">
        <f>'Anne-6'!I15</f>
        <v>4697629</v>
      </c>
      <c r="J15" s="8">
        <f>'Anne-7'!J15</f>
        <v>2668470</v>
      </c>
      <c r="K15" s="84">
        <f>'Anne-6'!N15</f>
        <v>3846587</v>
      </c>
      <c r="L15" s="9">
        <f>'Anne-6'!K15</f>
        <v>11092</v>
      </c>
      <c r="M15" s="8">
        <f>'Anne-6'!V15</f>
        <v>0</v>
      </c>
      <c r="N15" s="35">
        <f>'Anne-6'!W15</f>
        <v>852520</v>
      </c>
      <c r="O15" s="8">
        <f>'Anne-7'!L15</f>
        <v>0</v>
      </c>
      <c r="P15" s="8"/>
      <c r="Q15" s="35"/>
      <c r="R15" s="35">
        <f t="shared" si="1"/>
        <v>16831035</v>
      </c>
      <c r="S15" s="36">
        <f t="shared" si="0"/>
        <v>19913557</v>
      </c>
      <c r="T15" s="141">
        <f>D15/S15*100</f>
        <v>15.479514784827241</v>
      </c>
      <c r="U15" s="23"/>
      <c r="V15" s="23"/>
      <c r="W15" s="2">
        <v>25.596780822618488</v>
      </c>
    </row>
    <row r="16" spans="1:23" ht="15.75">
      <c r="A16" s="5">
        <v>8</v>
      </c>
      <c r="B16" s="6" t="s">
        <v>81</v>
      </c>
      <c r="C16" s="85">
        <v>3</v>
      </c>
      <c r="D16" s="25">
        <f>'Anne-6'!D16+'Anne-7'!F16</f>
        <v>1543631</v>
      </c>
      <c r="E16" s="8"/>
      <c r="F16" s="8">
        <f t="shared" si="2"/>
        <v>1543631</v>
      </c>
      <c r="G16" s="207">
        <f>'Anne-6'!G16</f>
        <v>2035958</v>
      </c>
      <c r="H16" s="84">
        <f>'Anne-6'!S16+'Anne-7'!I16</f>
        <v>1568154</v>
      </c>
      <c r="I16" s="8">
        <f>'Anne-6'!I16</f>
        <v>523069</v>
      </c>
      <c r="J16" s="8">
        <f>'Anne-7'!J16</f>
        <v>166930</v>
      </c>
      <c r="K16" s="8">
        <f>'Anne-6'!N16</f>
        <v>492266</v>
      </c>
      <c r="L16" s="9">
        <f>'Anne-6'!K16</f>
        <v>682129</v>
      </c>
      <c r="M16" s="8">
        <f>'Anne-6'!V16</f>
        <v>0</v>
      </c>
      <c r="N16" s="35">
        <f>'Anne-6'!W16</f>
        <v>0</v>
      </c>
      <c r="O16" s="8">
        <f>'Anne-7'!L16</f>
        <v>0</v>
      </c>
      <c r="P16" s="8"/>
      <c r="Q16" s="35"/>
      <c r="R16" s="35">
        <f t="shared" si="1"/>
        <v>5468506</v>
      </c>
      <c r="S16" s="36">
        <f t="shared" si="0"/>
        <v>7012137</v>
      </c>
      <c r="T16" s="141">
        <f>D16/S16*100</f>
        <v>22.01370281270888</v>
      </c>
      <c r="U16" s="23"/>
      <c r="W16" s="2">
        <v>17.56694320474712</v>
      </c>
    </row>
    <row r="17" spans="1:23" ht="15.75">
      <c r="A17" s="5">
        <v>9</v>
      </c>
      <c r="B17" s="6" t="s">
        <v>82</v>
      </c>
      <c r="C17" s="85">
        <v>3</v>
      </c>
      <c r="D17" s="25">
        <f>'Anne-6'!D17+'Anne-7'!F17</f>
        <v>1198113</v>
      </c>
      <c r="E17" s="8"/>
      <c r="F17" s="8">
        <f t="shared" si="2"/>
        <v>1198113</v>
      </c>
      <c r="G17" s="207">
        <f>'Anne-6'!G17</f>
        <v>2473706</v>
      </c>
      <c r="H17" s="8">
        <f>'Anne-6'!S17+'Anne-7'!I17</f>
        <v>645919</v>
      </c>
      <c r="I17" s="8">
        <f>'Anne-6'!I17</f>
        <v>660662</v>
      </c>
      <c r="J17" s="8">
        <f>'Anne-7'!J17</f>
        <v>0</v>
      </c>
      <c r="K17" s="8">
        <f>'Anne-6'!N17</f>
        <v>249095</v>
      </c>
      <c r="L17" s="439">
        <f>'Anne-6'!K17</f>
        <v>1922242</v>
      </c>
      <c r="M17" s="8">
        <f>'Anne-6'!V17</f>
        <v>0</v>
      </c>
      <c r="N17" s="35">
        <f>'Anne-6'!W17</f>
        <v>0</v>
      </c>
      <c r="O17" s="8">
        <f>'Anne-7'!L17</f>
        <v>0</v>
      </c>
      <c r="P17" s="8"/>
      <c r="Q17" s="35"/>
      <c r="R17" s="35">
        <f t="shared" si="1"/>
        <v>5951624</v>
      </c>
      <c r="S17" s="36">
        <f t="shared" si="0"/>
        <v>7149737</v>
      </c>
      <c r="T17" s="141">
        <f>D17/S17*100</f>
        <v>16.75744156743108</v>
      </c>
      <c r="V17" s="23"/>
      <c r="W17" s="2">
        <v>10.615533963378411</v>
      </c>
    </row>
    <row r="18" spans="1:23" ht="15">
      <c r="A18" s="5">
        <v>10</v>
      </c>
      <c r="B18" s="6" t="s">
        <v>30</v>
      </c>
      <c r="C18" s="85"/>
      <c r="D18" s="25"/>
      <c r="E18" s="8"/>
      <c r="F18" s="8"/>
      <c r="G18" s="10"/>
      <c r="H18" s="8"/>
      <c r="I18" s="8"/>
      <c r="J18" s="8"/>
      <c r="K18" s="8"/>
      <c r="L18" s="9"/>
      <c r="M18" s="8"/>
      <c r="N18" s="35"/>
      <c r="O18" s="8"/>
      <c r="P18" s="8"/>
      <c r="Q18" s="35"/>
      <c r="R18" s="35">
        <f t="shared" si="1"/>
        <v>0</v>
      </c>
      <c r="S18" s="36">
        <f t="shared" si="0"/>
        <v>0</v>
      </c>
      <c r="T18" s="141"/>
      <c r="W18" s="2">
        <v>17.20293779955842</v>
      </c>
    </row>
    <row r="19" spans="1:23" ht="15.75">
      <c r="A19" s="5">
        <v>11</v>
      </c>
      <c r="B19" s="6" t="s">
        <v>31</v>
      </c>
      <c r="C19" s="85">
        <v>2</v>
      </c>
      <c r="D19" s="25">
        <f>'Anne-6'!D19+'Anne-7'!F19</f>
        <v>7087882</v>
      </c>
      <c r="E19" s="8"/>
      <c r="F19" s="8">
        <f t="shared" si="2"/>
        <v>7087882</v>
      </c>
      <c r="G19" s="207">
        <f>'Anne-6'!G19</f>
        <v>16355229</v>
      </c>
      <c r="H19" s="8">
        <f>'Anne-6'!S19+'Anne-7'!I19</f>
        <v>6817531</v>
      </c>
      <c r="I19" s="8">
        <f>'Anne-6'!I19</f>
        <v>6780471</v>
      </c>
      <c r="J19" s="8">
        <f>'Anne-7'!J19</f>
        <v>5816311</v>
      </c>
      <c r="K19" s="8">
        <f>'Anne-6'!N19</f>
        <v>6342955</v>
      </c>
      <c r="L19" s="9">
        <f>'Anne-6'!K19</f>
        <v>1918124</v>
      </c>
      <c r="M19" s="8">
        <f>'Anne-6'!V19</f>
        <v>0</v>
      </c>
      <c r="N19" s="35">
        <f>'Anne-6'!W19</f>
        <v>0</v>
      </c>
      <c r="O19" s="8">
        <f>'Anne-7'!L19</f>
        <v>1983518</v>
      </c>
      <c r="P19" s="8"/>
      <c r="Q19" s="35"/>
      <c r="R19" s="35">
        <f t="shared" si="1"/>
        <v>46014139</v>
      </c>
      <c r="S19" s="36">
        <f t="shared" si="0"/>
        <v>53102021</v>
      </c>
      <c r="T19" s="141">
        <f>D19/S19*100</f>
        <v>13.34766900868048</v>
      </c>
      <c r="V19" s="23"/>
      <c r="W19" s="2">
        <v>13.102763575654794</v>
      </c>
    </row>
    <row r="20" spans="1:23" ht="15.75">
      <c r="A20" s="5">
        <v>12</v>
      </c>
      <c r="B20" s="6" t="s">
        <v>32</v>
      </c>
      <c r="C20" s="85">
        <v>2</v>
      </c>
      <c r="D20" s="25">
        <f>'Anne-6'!D20+'Anne-7'!F20</f>
        <v>7882689</v>
      </c>
      <c r="E20" s="8"/>
      <c r="F20" s="8">
        <f t="shared" si="2"/>
        <v>7882689</v>
      </c>
      <c r="G20" s="10">
        <f>'Anne-6'!G20</f>
        <v>3547360</v>
      </c>
      <c r="H20" s="8">
        <f>'Anne-6'!S20+'Anne-7'!I20</f>
        <v>2977299</v>
      </c>
      <c r="I20" s="8">
        <f>'Anne-6'!I20</f>
        <v>6385292</v>
      </c>
      <c r="J20" s="8">
        <f>'Anne-7'!J20</f>
        <v>1705518</v>
      </c>
      <c r="K20" s="84">
        <f>'Anne-6'!N20</f>
        <v>8161641</v>
      </c>
      <c r="L20" s="9">
        <f>'Anne-6'!K20</f>
        <v>29883</v>
      </c>
      <c r="M20" s="8">
        <f>'Anne-6'!V20</f>
        <v>0</v>
      </c>
      <c r="N20" s="35">
        <f>'Anne-6'!W20</f>
        <v>0</v>
      </c>
      <c r="O20" s="8">
        <f>'Anne-7'!L20</f>
        <v>450599</v>
      </c>
      <c r="P20" s="8"/>
      <c r="Q20" s="35"/>
      <c r="R20" s="35">
        <f t="shared" si="1"/>
        <v>23257592</v>
      </c>
      <c r="S20" s="36">
        <f t="shared" si="0"/>
        <v>31140281</v>
      </c>
      <c r="T20" s="141">
        <f>D20/S20*100</f>
        <v>25.313480633010343</v>
      </c>
      <c r="W20" s="2">
        <v>11.476392817874025</v>
      </c>
    </row>
    <row r="21" spans="1:23" ht="15.75">
      <c r="A21" s="5">
        <v>13</v>
      </c>
      <c r="B21" s="6" t="s">
        <v>83</v>
      </c>
      <c r="C21" s="85">
        <v>4</v>
      </c>
      <c r="D21" s="25">
        <f>'Anne-6'!D21+'Anne-7'!F21</f>
        <v>5059649</v>
      </c>
      <c r="E21" s="8"/>
      <c r="F21" s="8">
        <f t="shared" si="2"/>
        <v>5059649</v>
      </c>
      <c r="G21" s="207">
        <f>'Anne-6'!G21</f>
        <v>10232522</v>
      </c>
      <c r="H21" s="84">
        <f>'Anne-6'!S21+'Anne-7'!I21</f>
        <v>12810440</v>
      </c>
      <c r="I21" s="8">
        <f>'Anne-6'!I21</f>
        <v>4230893</v>
      </c>
      <c r="J21" s="8">
        <f>'Anne-7'!J21</f>
        <v>3931501</v>
      </c>
      <c r="K21" s="84">
        <f>'Anne-6'!N21</f>
        <v>16070788</v>
      </c>
      <c r="L21" s="9">
        <f>'Anne-6'!K21</f>
        <v>22694</v>
      </c>
      <c r="M21" s="8">
        <f>'Anne-6'!V21</f>
        <v>0</v>
      </c>
      <c r="N21" s="35">
        <f>'Anne-6'!W21</f>
        <v>862831</v>
      </c>
      <c r="O21" s="8">
        <f>'Anne-7'!L21</f>
        <v>0</v>
      </c>
      <c r="P21" s="8"/>
      <c r="Q21" s="35"/>
      <c r="R21" s="35">
        <f t="shared" si="1"/>
        <v>48161669</v>
      </c>
      <c r="S21" s="36">
        <f t="shared" si="0"/>
        <v>53221318</v>
      </c>
      <c r="T21" s="141">
        <f>D21/S21*100</f>
        <v>9.506808906912076</v>
      </c>
      <c r="W21" s="2">
        <v>20.199704323097638</v>
      </c>
    </row>
    <row r="22" spans="1:23" ht="15.75">
      <c r="A22" s="5">
        <v>14</v>
      </c>
      <c r="B22" s="6" t="s">
        <v>34</v>
      </c>
      <c r="C22" s="85">
        <v>5</v>
      </c>
      <c r="D22" s="25">
        <f>'Anne-6'!D22+'Anne-7'!F22</f>
        <v>6598621</v>
      </c>
      <c r="E22" s="8"/>
      <c r="F22" s="8">
        <f t="shared" si="2"/>
        <v>6598621</v>
      </c>
      <c r="G22" s="207">
        <f>'Anne-6'!G22</f>
        <v>10033460</v>
      </c>
      <c r="H22" s="84">
        <f>'Anne-6'!S22+'Anne-7'!I22</f>
        <v>8107701</v>
      </c>
      <c r="I22" s="84">
        <f>'Anne-6'!I22</f>
        <v>13644766</v>
      </c>
      <c r="J22" s="8">
        <f>'Anne-7'!J22</f>
        <v>6180796</v>
      </c>
      <c r="K22" s="84">
        <f>'Anne-6'!N22</f>
        <v>16786007</v>
      </c>
      <c r="L22" s="9">
        <f>'Anne-6'!K22</f>
        <v>1246495</v>
      </c>
      <c r="M22" s="8">
        <f>'Anne-6'!V22</f>
        <v>5541113</v>
      </c>
      <c r="N22" s="35">
        <f>'Anne-6'!W22</f>
        <v>0</v>
      </c>
      <c r="O22" s="8">
        <f>'Anne-7'!L22</f>
        <v>0</v>
      </c>
      <c r="P22" s="8"/>
      <c r="Q22" s="35"/>
      <c r="R22" s="35">
        <f t="shared" si="1"/>
        <v>61540338</v>
      </c>
      <c r="S22" s="36">
        <f t="shared" si="0"/>
        <v>68138959</v>
      </c>
      <c r="T22" s="141">
        <f>D22/S22*100</f>
        <v>9.684064882764059</v>
      </c>
      <c r="W22" s="2">
        <v>16.415438804006907</v>
      </c>
    </row>
    <row r="23" spans="1:23" ht="15.75">
      <c r="A23" s="5">
        <v>15</v>
      </c>
      <c r="B23" s="6" t="s">
        <v>35</v>
      </c>
      <c r="C23" s="85">
        <v>3</v>
      </c>
      <c r="D23" s="25">
        <f>'Anne-6'!D23+'Anne-7'!F23</f>
        <v>1769462</v>
      </c>
      <c r="E23" s="8"/>
      <c r="F23" s="8">
        <f t="shared" si="2"/>
        <v>1769462</v>
      </c>
      <c r="G23" s="207">
        <f>'Anne-6'!G23</f>
        <v>2808177</v>
      </c>
      <c r="H23" s="8">
        <f>'Anne-6'!S23+'Anne-7'!I23</f>
        <v>934206</v>
      </c>
      <c r="I23" s="8">
        <f>'Anne-6'!I23</f>
        <v>1064436</v>
      </c>
      <c r="J23" s="8">
        <f>'Anne-7'!J23</f>
        <v>0</v>
      </c>
      <c r="K23" s="8">
        <f>'Anne-6'!N23</f>
        <v>315123</v>
      </c>
      <c r="L23" s="439">
        <f>'Anne-6'!K23</f>
        <v>2308267</v>
      </c>
      <c r="M23" s="8">
        <f>'Anne-6'!V23</f>
        <v>0</v>
      </c>
      <c r="N23" s="35">
        <f>'Anne-6'!W23</f>
        <v>0</v>
      </c>
      <c r="O23" s="8">
        <f>'Anne-7'!L23</f>
        <v>0</v>
      </c>
      <c r="P23" s="8"/>
      <c r="Q23" s="35"/>
      <c r="R23" s="35">
        <f t="shared" si="1"/>
        <v>7430209</v>
      </c>
      <c r="S23" s="36">
        <f t="shared" si="0"/>
        <v>9199671</v>
      </c>
      <c r="T23" s="141">
        <f>D23/S23*100</f>
        <v>19.2339704322035</v>
      </c>
      <c r="W23" s="2">
        <v>18.233066796837388</v>
      </c>
    </row>
    <row r="24" spans="1:23" ht="15">
      <c r="A24" s="5">
        <v>16</v>
      </c>
      <c r="B24" s="6" t="s">
        <v>36</v>
      </c>
      <c r="C24" s="85"/>
      <c r="D24" s="25"/>
      <c r="E24" s="8"/>
      <c r="F24" s="8"/>
      <c r="G24" s="10"/>
      <c r="H24" s="8"/>
      <c r="I24" s="8"/>
      <c r="J24" s="8"/>
      <c r="K24" s="8"/>
      <c r="L24" s="9"/>
      <c r="M24" s="8"/>
      <c r="N24" s="35"/>
      <c r="O24" s="8"/>
      <c r="P24" s="8"/>
      <c r="Q24" s="35"/>
      <c r="R24" s="35">
        <f t="shared" si="1"/>
        <v>0</v>
      </c>
      <c r="S24" s="36">
        <f t="shared" si="0"/>
        <v>0</v>
      </c>
      <c r="T24" s="141"/>
      <c r="W24" s="2">
        <v>13.323404116715686</v>
      </c>
    </row>
    <row r="25" spans="1:23" ht="15.75">
      <c r="A25" s="5">
        <v>17</v>
      </c>
      <c r="B25" s="6" t="s">
        <v>37</v>
      </c>
      <c r="C25" s="85">
        <v>2</v>
      </c>
      <c r="D25" s="25">
        <f>'Anne-6'!D25+'Anne-7'!F25</f>
        <v>4521567</v>
      </c>
      <c r="E25" s="8"/>
      <c r="F25" s="8">
        <f t="shared" si="2"/>
        <v>4521567</v>
      </c>
      <c r="G25" s="207">
        <f>'Anne-6'!G25</f>
        <v>7159241</v>
      </c>
      <c r="H25" s="8">
        <f>'Anne-6'!S25+'Anne-7'!I25</f>
        <v>4008674</v>
      </c>
      <c r="I25" s="8">
        <f>'Anne-6'!I25</f>
        <v>3163939</v>
      </c>
      <c r="J25" s="8">
        <f>'Anne-7'!J25</f>
        <v>2036183</v>
      </c>
      <c r="K25" s="8">
        <f>'Anne-6'!N25</f>
        <v>1067884</v>
      </c>
      <c r="L25" s="9">
        <f>'Anne-6'!K25</f>
        <v>2883004</v>
      </c>
      <c r="M25" s="8">
        <f>'Anne-6'!V25</f>
        <v>0</v>
      </c>
      <c r="N25" s="35">
        <f>'Anne-6'!W25</f>
        <v>0</v>
      </c>
      <c r="O25" s="8">
        <f>'Anne-7'!L25</f>
        <v>0</v>
      </c>
      <c r="P25" s="8"/>
      <c r="Q25" s="35"/>
      <c r="R25" s="35">
        <f t="shared" si="1"/>
        <v>20318925</v>
      </c>
      <c r="S25" s="36">
        <f t="shared" si="0"/>
        <v>24840492</v>
      </c>
      <c r="T25" s="141">
        <f>D25/S25*100</f>
        <v>18.202405169752677</v>
      </c>
      <c r="W25" s="2">
        <v>11.157139831728973</v>
      </c>
    </row>
    <row r="26" spans="1:23" ht="15.75">
      <c r="A26" s="5">
        <v>18</v>
      </c>
      <c r="B26" s="6" t="s">
        <v>38</v>
      </c>
      <c r="C26" s="85">
        <v>4</v>
      </c>
      <c r="D26" s="25">
        <f>'Anne-6'!D26+'Anne-7'!F26</f>
        <v>4403431</v>
      </c>
      <c r="E26" s="8"/>
      <c r="F26" s="8">
        <f t="shared" si="2"/>
        <v>4403431</v>
      </c>
      <c r="G26" s="207">
        <f>'Anne-6'!G26</f>
        <v>7034838</v>
      </c>
      <c r="H26" s="8">
        <f>'Anne-6'!S26+'Anne-7'!I26</f>
        <v>3240560</v>
      </c>
      <c r="I26" s="84">
        <f>'Anne-6'!I26</f>
        <v>4483340</v>
      </c>
      <c r="J26" s="8">
        <f>'Anne-7'!J26</f>
        <v>2450093</v>
      </c>
      <c r="K26" s="84">
        <f>'Anne-6'!N26</f>
        <v>5842432</v>
      </c>
      <c r="L26" s="9">
        <f>'Anne-6'!K26</f>
        <v>943240</v>
      </c>
      <c r="M26" s="8">
        <f>'Anne-6'!V26</f>
        <v>0</v>
      </c>
      <c r="N26" s="35">
        <f>'Anne-6'!W26</f>
        <v>0</v>
      </c>
      <c r="O26" s="8">
        <f>'Anne-7'!L26</f>
        <v>0</v>
      </c>
      <c r="P26" s="8">
        <f>'Anne-7'!K26</f>
        <v>1419476</v>
      </c>
      <c r="Q26" s="35"/>
      <c r="R26" s="35">
        <f t="shared" si="1"/>
        <v>25413979</v>
      </c>
      <c r="S26" s="36">
        <f t="shared" si="0"/>
        <v>29817410</v>
      </c>
      <c r="T26" s="141">
        <f>D26/S26*100</f>
        <v>14.767986220131124</v>
      </c>
      <c r="U26" s="23"/>
      <c r="W26" s="2">
        <v>18.621049879510213</v>
      </c>
    </row>
    <row r="27" spans="1:23" ht="15.75">
      <c r="A27" s="5">
        <v>19</v>
      </c>
      <c r="B27" s="6" t="s">
        <v>39</v>
      </c>
      <c r="C27" s="85">
        <v>3</v>
      </c>
      <c r="D27" s="25">
        <f>'Anne-6'!D27+'Anne-7'!F27</f>
        <v>5961006</v>
      </c>
      <c r="E27" s="8"/>
      <c r="F27" s="8">
        <f t="shared" si="2"/>
        <v>5961006</v>
      </c>
      <c r="G27" s="207">
        <f>'Anne-6'!G27</f>
        <v>14720751</v>
      </c>
      <c r="H27" s="8">
        <f>'Anne-6'!S27+'Anne-7'!I27</f>
        <v>5893323</v>
      </c>
      <c r="I27" s="84">
        <f>'Anne-6'!I27</f>
        <v>9198787</v>
      </c>
      <c r="J27" s="8">
        <f>'Anne-7'!J27</f>
        <v>2661609</v>
      </c>
      <c r="K27" s="8">
        <f>'Anne-6'!N27</f>
        <v>5558442</v>
      </c>
      <c r="L27" s="9">
        <f>'Anne-6'!K27</f>
        <v>3360486</v>
      </c>
      <c r="M27" s="8">
        <f>'Anne-6'!V27</f>
        <v>0</v>
      </c>
      <c r="N27" s="35">
        <f>'Anne-6'!W27</f>
        <v>0</v>
      </c>
      <c r="O27" s="8">
        <f>'Anne-7'!L27</f>
        <v>2163347</v>
      </c>
      <c r="P27" s="8"/>
      <c r="Q27" s="35"/>
      <c r="R27" s="35">
        <f t="shared" si="1"/>
        <v>43556745</v>
      </c>
      <c r="S27" s="36">
        <f t="shared" si="0"/>
        <v>49517751</v>
      </c>
      <c r="T27" s="141">
        <f>D27/S27*100</f>
        <v>12.038119421053674</v>
      </c>
      <c r="U27" s="23"/>
      <c r="W27" s="2">
        <v>11.446058657568615</v>
      </c>
    </row>
    <row r="28" spans="1:23" ht="15.75">
      <c r="A28" s="5">
        <v>20</v>
      </c>
      <c r="B28" s="6" t="s">
        <v>40</v>
      </c>
      <c r="C28" s="85">
        <v>4</v>
      </c>
      <c r="D28" s="25">
        <f>'Anne-6'!D28+'Anne-7'!F28</f>
        <v>8062857</v>
      </c>
      <c r="E28" s="8"/>
      <c r="F28" s="8">
        <f t="shared" si="2"/>
        <v>8062857</v>
      </c>
      <c r="G28" s="207">
        <f>'Anne-6'!G28</f>
        <v>9912262</v>
      </c>
      <c r="H28" s="8">
        <f>'Anne-6'!S28+'Anne-7'!I28</f>
        <v>5913361</v>
      </c>
      <c r="I28" s="84">
        <f>'Anne-6'!I28</f>
        <v>10278550</v>
      </c>
      <c r="J28" s="8">
        <f>'Anne-7'!J28</f>
        <v>3879996</v>
      </c>
      <c r="K28" s="8">
        <f>'Anne-6'!N28</f>
        <v>2352639</v>
      </c>
      <c r="L28" s="439">
        <f>'Anne-6'!K28</f>
        <v>17611411</v>
      </c>
      <c r="M28" s="8">
        <f>'Anne-6'!V28</f>
        <v>0</v>
      </c>
      <c r="N28" s="35">
        <f>'Anne-6'!W28</f>
        <v>0</v>
      </c>
      <c r="O28" s="8">
        <f>'Anne-7'!L28</f>
        <v>1161453</v>
      </c>
      <c r="P28" s="8"/>
      <c r="Q28" s="35"/>
      <c r="R28" s="35">
        <f t="shared" si="1"/>
        <v>51109672</v>
      </c>
      <c r="S28" s="36">
        <f t="shared" si="0"/>
        <v>59172529</v>
      </c>
      <c r="T28" s="141">
        <f>D28/S28*100</f>
        <v>13.626013855179316</v>
      </c>
      <c r="W28" s="2">
        <v>9.456205902479791</v>
      </c>
    </row>
    <row r="29" spans="1:23" ht="15">
      <c r="A29" s="5">
        <v>21</v>
      </c>
      <c r="B29" s="6" t="s">
        <v>41</v>
      </c>
      <c r="C29" s="85"/>
      <c r="D29" s="25"/>
      <c r="E29" s="8"/>
      <c r="F29" s="8"/>
      <c r="G29" s="10"/>
      <c r="H29" s="8"/>
      <c r="I29" s="8"/>
      <c r="J29" s="8"/>
      <c r="K29" s="8"/>
      <c r="L29" s="9"/>
      <c r="M29" s="8"/>
      <c r="N29" s="35"/>
      <c r="O29" s="8"/>
      <c r="P29" s="8"/>
      <c r="Q29" s="35"/>
      <c r="R29" s="35">
        <f t="shared" si="1"/>
        <v>0</v>
      </c>
      <c r="S29" s="36">
        <f t="shared" si="0"/>
        <v>0</v>
      </c>
      <c r="T29" s="141"/>
      <c r="W29" s="2">
        <v>11.207944897028229</v>
      </c>
    </row>
    <row r="30" spans="1:23" ht="15.75">
      <c r="A30" s="5">
        <v>22</v>
      </c>
      <c r="B30" s="6" t="s">
        <v>84</v>
      </c>
      <c r="C30" s="85">
        <v>3</v>
      </c>
      <c r="D30" s="25">
        <f>'Anne-6'!D30+'Anne-7'!F30</f>
        <v>10427629</v>
      </c>
      <c r="E30" s="8"/>
      <c r="F30" s="8">
        <f t="shared" si="2"/>
        <v>10427629</v>
      </c>
      <c r="G30" s="207">
        <f>'Anne-6'!G30</f>
        <v>15578792</v>
      </c>
      <c r="H30" s="8">
        <f>'Anne-6'!S30+'Anne-7'!I30</f>
        <v>9967960</v>
      </c>
      <c r="I30" s="84">
        <f>'Anne-6'!I30</f>
        <v>15290748</v>
      </c>
      <c r="J30" s="8">
        <f>'Anne-7'!J30</f>
        <v>4199876</v>
      </c>
      <c r="K30" s="8">
        <f>'Anne-6'!N30</f>
        <v>7930109</v>
      </c>
      <c r="L30" s="9">
        <f>'Anne-6'!K30</f>
        <v>4219738</v>
      </c>
      <c r="M30" s="8">
        <f>'Anne-6'!V30</f>
        <v>7440256</v>
      </c>
      <c r="N30" s="35">
        <f>'Anne-6'!W30</f>
        <v>0</v>
      </c>
      <c r="O30" s="8">
        <f>'Anne-7'!L30</f>
        <v>0</v>
      </c>
      <c r="P30" s="8"/>
      <c r="Q30" s="35"/>
      <c r="R30" s="35">
        <f t="shared" si="1"/>
        <v>64627479</v>
      </c>
      <c r="S30" s="36">
        <f t="shared" si="0"/>
        <v>75055108</v>
      </c>
      <c r="T30" s="141">
        <f aca="true" t="shared" si="3" ref="T30:T38">D30/S30*100</f>
        <v>13.893296909252332</v>
      </c>
      <c r="W30" s="2">
        <v>11.264606079660437</v>
      </c>
    </row>
    <row r="31" spans="1:23" ht="15.75">
      <c r="A31" s="5">
        <v>23</v>
      </c>
      <c r="B31" s="6" t="s">
        <v>85</v>
      </c>
      <c r="C31" s="85">
        <v>6</v>
      </c>
      <c r="D31" s="25">
        <f>'Anne-6'!D31+'Anne-7'!F31</f>
        <v>4754430</v>
      </c>
      <c r="E31" s="8"/>
      <c r="F31" s="8">
        <f t="shared" si="2"/>
        <v>4754430</v>
      </c>
      <c r="G31" s="207">
        <f>'Anne-6'!G31</f>
        <v>6621579</v>
      </c>
      <c r="H31" s="84">
        <f>'Anne-6'!S31+'Anne-7'!I31</f>
        <v>6839716</v>
      </c>
      <c r="I31" s="84">
        <f>'Anne-6'!I31</f>
        <v>9604292</v>
      </c>
      <c r="J31" s="8">
        <f>'Anne-7'!J31</f>
        <v>3771043</v>
      </c>
      <c r="K31" s="84">
        <f>'Anne-6'!N31</f>
        <v>10972813</v>
      </c>
      <c r="L31" s="9">
        <f>'Anne-6'!K31</f>
        <v>109150</v>
      </c>
      <c r="M31" s="84">
        <f>'Anne-6'!V31</f>
        <v>5262422</v>
      </c>
      <c r="N31" s="35">
        <f>'Anne-6'!W31</f>
        <v>0</v>
      </c>
      <c r="O31" s="8">
        <f>'Anne-7'!L31</f>
        <v>379458</v>
      </c>
      <c r="P31" s="8"/>
      <c r="Q31" s="35"/>
      <c r="R31" s="35">
        <f t="shared" si="1"/>
        <v>43560473</v>
      </c>
      <c r="S31" s="36">
        <f t="shared" si="0"/>
        <v>48314903</v>
      </c>
      <c r="T31" s="141">
        <f t="shared" si="3"/>
        <v>9.840504078006738</v>
      </c>
      <c r="W31" s="8">
        <v>13.113051353560742</v>
      </c>
    </row>
    <row r="32" spans="1:23" ht="15.75">
      <c r="A32" s="5">
        <v>24</v>
      </c>
      <c r="B32" s="6" t="s">
        <v>44</v>
      </c>
      <c r="C32" s="85">
        <v>4</v>
      </c>
      <c r="D32" s="25">
        <f>'Anne-6'!D32+'Anne-7'!F32</f>
        <v>2999080</v>
      </c>
      <c r="E32" s="8"/>
      <c r="F32" s="8">
        <f t="shared" si="2"/>
        <v>2999080</v>
      </c>
      <c r="G32" s="207">
        <f>'Anne-6'!G32</f>
        <v>9418336</v>
      </c>
      <c r="H32" s="84">
        <f>'Anne-6'!S32+'Anne-7'!I32</f>
        <v>7382489</v>
      </c>
      <c r="I32" s="84">
        <f>'Anne-6'!I32</f>
        <v>11836468</v>
      </c>
      <c r="J32" s="8">
        <f>'Anne-7'!J32</f>
        <v>1864862</v>
      </c>
      <c r="K32" s="8">
        <f>'Anne-6'!N32</f>
        <v>2811705</v>
      </c>
      <c r="L32" s="9">
        <f>'Anne-6'!K32</f>
        <v>3176579</v>
      </c>
      <c r="M32" s="8">
        <f>'Anne-6'!V32</f>
        <v>0</v>
      </c>
      <c r="N32" s="35">
        <f>'Anne-6'!W32</f>
        <v>0</v>
      </c>
      <c r="O32" s="8">
        <f>'Anne-7'!L32</f>
        <v>1770490</v>
      </c>
      <c r="P32" s="8"/>
      <c r="Q32" s="35"/>
      <c r="R32" s="35">
        <f t="shared" si="1"/>
        <v>38260929</v>
      </c>
      <c r="S32" s="36">
        <f t="shared" si="0"/>
        <v>41260009</v>
      </c>
      <c r="T32" s="141">
        <f t="shared" si="3"/>
        <v>7.268733266635982</v>
      </c>
      <c r="W32" s="2">
        <v>0</v>
      </c>
    </row>
    <row r="33" spans="1:23" ht="15.75">
      <c r="A33" s="5">
        <v>25</v>
      </c>
      <c r="B33" s="6" t="s">
        <v>45</v>
      </c>
      <c r="C33" s="85">
        <v>5</v>
      </c>
      <c r="D33" s="25">
        <f>'Anne-6'!D33+'Anne-7'!F33</f>
        <v>2295346</v>
      </c>
      <c r="E33" s="8"/>
      <c r="F33" s="8">
        <f t="shared" si="2"/>
        <v>2295346</v>
      </c>
      <c r="G33" s="207">
        <f>'Anne-6'!G33</f>
        <v>3692150</v>
      </c>
      <c r="H33" s="84">
        <f>'Anne-6'!S33+'Anne-7'!I33</f>
        <v>4297895</v>
      </c>
      <c r="I33" s="84">
        <f>'Anne-6'!I33</f>
        <v>4334706</v>
      </c>
      <c r="J33" s="84">
        <f>'Anne-7'!J33</f>
        <v>2840141</v>
      </c>
      <c r="K33" s="8">
        <f>'Anne-6'!N33</f>
        <v>1371401</v>
      </c>
      <c r="L33" s="9">
        <f>'Anne-6'!K33</f>
        <v>1939653</v>
      </c>
      <c r="M33" s="8">
        <f>'Anne-6'!V33</f>
        <v>0</v>
      </c>
      <c r="N33" s="35">
        <f>'Anne-6'!W33</f>
        <v>0</v>
      </c>
      <c r="O33" s="8">
        <f>'Anne-7'!L33</f>
        <v>778263</v>
      </c>
      <c r="P33" s="8"/>
      <c r="Q33" s="35"/>
      <c r="R33" s="35">
        <f t="shared" si="1"/>
        <v>19254209</v>
      </c>
      <c r="S33" s="36">
        <f t="shared" si="0"/>
        <v>21549555</v>
      </c>
      <c r="T33" s="141">
        <f t="shared" si="3"/>
        <v>10.651477489906403</v>
      </c>
      <c r="W33" s="23">
        <v>0</v>
      </c>
    </row>
    <row r="34" spans="1:23" ht="15.75">
      <c r="A34" s="5">
        <v>26</v>
      </c>
      <c r="B34" s="6" t="s">
        <v>46</v>
      </c>
      <c r="C34" s="85">
        <v>3</v>
      </c>
      <c r="D34" s="25">
        <f>'Anne-6'!D34+'Anne-7'!F34</f>
        <v>1534562</v>
      </c>
      <c r="E34" s="8"/>
      <c r="F34" s="8">
        <f t="shared" si="2"/>
        <v>1534562</v>
      </c>
      <c r="G34" s="207">
        <f>'Anne-6'!G34</f>
        <v>3740967</v>
      </c>
      <c r="H34" s="8">
        <f>'Anne-6'!S34+'Anne-7'!I34</f>
        <v>899334</v>
      </c>
      <c r="I34" s="84">
        <f>'Anne-6'!I34</f>
        <v>2152605</v>
      </c>
      <c r="J34" s="8">
        <f>'Anne-7'!J34</f>
        <v>1350425</v>
      </c>
      <c r="K34" s="8">
        <f>'Anne-6'!N34</f>
        <v>0</v>
      </c>
      <c r="L34" s="439">
        <f>'Anne-6'!K34</f>
        <v>3975573</v>
      </c>
      <c r="M34" s="8">
        <f>'Anne-6'!V34</f>
        <v>0</v>
      </c>
      <c r="N34" s="35">
        <f>'Anne-6'!W34</f>
        <v>0</v>
      </c>
      <c r="O34" s="8">
        <f>'Anne-7'!L34</f>
        <v>0</v>
      </c>
      <c r="P34" s="8"/>
      <c r="Q34" s="35"/>
      <c r="R34" s="35">
        <f t="shared" si="1"/>
        <v>12118904</v>
      </c>
      <c r="S34" s="36">
        <f t="shared" si="0"/>
        <v>13653466</v>
      </c>
      <c r="T34" s="141">
        <f t="shared" si="3"/>
        <v>11.239358562873338</v>
      </c>
      <c r="W34" s="2">
        <v>11.883842284044729</v>
      </c>
    </row>
    <row r="35" spans="1:20" ht="15">
      <c r="A35" s="5"/>
      <c r="B35" s="7" t="s">
        <v>47</v>
      </c>
      <c r="C35" s="45">
        <v>5</v>
      </c>
      <c r="D35" s="70">
        <f aca="true" t="shared" si="4" ref="D35:S35">SUM(D9:D34)</f>
        <v>97990720</v>
      </c>
      <c r="E35" s="8">
        <f t="shared" si="4"/>
        <v>0</v>
      </c>
      <c r="F35" s="8">
        <f t="shared" si="4"/>
        <v>97990720</v>
      </c>
      <c r="G35" s="8">
        <f t="shared" si="4"/>
        <v>177635775</v>
      </c>
      <c r="H35" s="8">
        <f>SUM(H9:H34)</f>
        <v>111864155</v>
      </c>
      <c r="I35" s="8">
        <f t="shared" si="4"/>
        <v>139905213</v>
      </c>
      <c r="J35" s="8">
        <f t="shared" si="4"/>
        <v>58067556</v>
      </c>
      <c r="K35" s="8">
        <f>SUM(K9:K34)</f>
        <v>116923993</v>
      </c>
      <c r="L35" s="8">
        <f t="shared" si="4"/>
        <v>56453100</v>
      </c>
      <c r="M35" s="8">
        <f>SUM(M9:M34)</f>
        <v>32295872</v>
      </c>
      <c r="N35" s="25">
        <f>SUM(N9:N34)</f>
        <v>2417993</v>
      </c>
      <c r="O35" s="8">
        <f>SUM(O9:O34)</f>
        <v>8887782</v>
      </c>
      <c r="P35" s="8">
        <f>SUM(P9:P34)</f>
        <v>1419476</v>
      </c>
      <c r="Q35" s="8"/>
      <c r="R35" s="8">
        <f t="shared" si="4"/>
        <v>705870915</v>
      </c>
      <c r="S35" s="8">
        <f t="shared" si="4"/>
        <v>803861635</v>
      </c>
      <c r="T35" s="141">
        <f t="shared" si="3"/>
        <v>12.189998344677813</v>
      </c>
    </row>
    <row r="36" spans="1:20" ht="15">
      <c r="A36" s="4">
        <v>27</v>
      </c>
      <c r="B36" s="3" t="s">
        <v>48</v>
      </c>
      <c r="C36" s="4"/>
      <c r="D36" s="70"/>
      <c r="E36" s="70">
        <f>'Anne-6'!E36+'Anne-7'!G36</f>
        <v>2599720</v>
      </c>
      <c r="F36" s="8">
        <f t="shared" si="2"/>
        <v>2599720</v>
      </c>
      <c r="G36" s="10">
        <f>'Anne-6'!G36</f>
        <v>9407812</v>
      </c>
      <c r="H36" s="8">
        <f>'Anne-6'!S36+'Anne-7'!I36</f>
        <v>7794512</v>
      </c>
      <c r="I36" s="8">
        <f>'Anne-6'!I36</f>
        <v>8561135</v>
      </c>
      <c r="J36" s="8">
        <f>'Anne-7'!J36</f>
        <v>3032124</v>
      </c>
      <c r="K36" s="8">
        <f>'Anne-6'!N36</f>
        <v>4944716</v>
      </c>
      <c r="L36" s="9">
        <f>'Anne-6'!K36</f>
        <v>2956149</v>
      </c>
      <c r="M36" s="8">
        <f>'Anne-6'!V36</f>
        <v>0</v>
      </c>
      <c r="N36" s="35">
        <f>'Anne-6'!W36</f>
        <v>0</v>
      </c>
      <c r="O36" s="8">
        <f>'Anne-7'!L36</f>
        <v>881544</v>
      </c>
      <c r="P36" s="8">
        <f>'Anne-7'!K36</f>
        <v>0</v>
      </c>
      <c r="Q36" s="35"/>
      <c r="R36" s="35">
        <f t="shared" si="1"/>
        <v>37577992</v>
      </c>
      <c r="S36" s="36">
        <f>R36+F36</f>
        <v>40177712</v>
      </c>
      <c r="T36" s="141">
        <f t="shared" si="3"/>
        <v>0</v>
      </c>
    </row>
    <row r="37" spans="1:22" ht="15">
      <c r="A37" s="4">
        <v>28</v>
      </c>
      <c r="B37" s="3" t="s">
        <v>49</v>
      </c>
      <c r="C37" s="4"/>
      <c r="D37" s="70"/>
      <c r="E37" s="70">
        <f>'Anne-6'!E37+'Anne-7'!G37</f>
        <v>2010869</v>
      </c>
      <c r="F37" s="8">
        <f t="shared" si="2"/>
        <v>2010869</v>
      </c>
      <c r="G37" s="10">
        <f>'Anne-6'!G37</f>
        <v>3868834</v>
      </c>
      <c r="H37" s="8">
        <f>'Anne-6'!S37+'Anne-7'!I37</f>
        <v>6073982</v>
      </c>
      <c r="I37" s="8">
        <f>'Anne-6'!I37</f>
        <v>6567520</v>
      </c>
      <c r="J37" s="8">
        <f>'Anne-7'!J37</f>
        <v>3526335</v>
      </c>
      <c r="K37" s="8">
        <f>'Anne-6'!N37</f>
        <v>3099398</v>
      </c>
      <c r="L37" s="9">
        <f>'Anne-6'!K37</f>
        <v>1560725</v>
      </c>
      <c r="M37" s="8">
        <f>'Anne-6'!V37</f>
        <v>0</v>
      </c>
      <c r="N37" s="35">
        <f>'Anne-6'!W37</f>
        <v>0</v>
      </c>
      <c r="O37" s="8">
        <f>'Anne-7'!L37</f>
        <v>0</v>
      </c>
      <c r="P37" s="8">
        <f>'Anne-7'!K37</f>
        <v>0</v>
      </c>
      <c r="Q37" s="35">
        <f>'Anne-6'!X37</f>
        <v>2868751</v>
      </c>
      <c r="R37" s="35">
        <f t="shared" si="1"/>
        <v>27565545</v>
      </c>
      <c r="S37" s="36">
        <f>R37+F37</f>
        <v>29576414</v>
      </c>
      <c r="T37" s="141">
        <f t="shared" si="3"/>
        <v>0</v>
      </c>
      <c r="V37" s="23"/>
    </row>
    <row r="38" spans="1:20" s="97" customFormat="1" ht="15">
      <c r="A38" s="430"/>
      <c r="B38" s="413" t="s">
        <v>50</v>
      </c>
      <c r="C38" s="430">
        <v>5</v>
      </c>
      <c r="D38" s="70">
        <f aca="true" t="shared" si="5" ref="D38:S38">SUM(D35:D37)</f>
        <v>97990720</v>
      </c>
      <c r="E38" s="70">
        <f t="shared" si="5"/>
        <v>4610589</v>
      </c>
      <c r="F38" s="70">
        <f t="shared" si="5"/>
        <v>102601309</v>
      </c>
      <c r="G38" s="70">
        <f t="shared" si="5"/>
        <v>190912421</v>
      </c>
      <c r="H38" s="70">
        <f>SUM(H35:H37)</f>
        <v>125732649</v>
      </c>
      <c r="I38" s="70">
        <f t="shared" si="5"/>
        <v>155033868</v>
      </c>
      <c r="J38" s="70">
        <f t="shared" si="5"/>
        <v>64626015</v>
      </c>
      <c r="K38" s="70">
        <f>SUM(K35:K37)</f>
        <v>124968107</v>
      </c>
      <c r="L38" s="70">
        <f t="shared" si="5"/>
        <v>60969974</v>
      </c>
      <c r="M38" s="70">
        <f>SUM(M35:M37)</f>
        <v>32295872</v>
      </c>
      <c r="N38" s="70">
        <f>SUM(N35:N37)</f>
        <v>2417993</v>
      </c>
      <c r="O38" s="70">
        <f>SUM(O35:O37)</f>
        <v>9769326</v>
      </c>
      <c r="P38" s="70">
        <f>SUM(P35:P37)</f>
        <v>1419476</v>
      </c>
      <c r="Q38" s="70">
        <f t="shared" si="5"/>
        <v>2868751</v>
      </c>
      <c r="R38" s="70">
        <f t="shared" si="5"/>
        <v>771014452</v>
      </c>
      <c r="S38" s="70">
        <f t="shared" si="5"/>
        <v>873615761</v>
      </c>
      <c r="T38" s="431">
        <f t="shared" si="3"/>
        <v>11.21668408177906</v>
      </c>
    </row>
    <row r="39" spans="1:22" ht="14.25">
      <c r="A39" s="107" t="s">
        <v>51</v>
      </c>
      <c r="B39" s="108"/>
      <c r="C39" s="108"/>
      <c r="D39" s="139">
        <f>D38/$S$38*100</f>
        <v>11.21668408177906</v>
      </c>
      <c r="E39" s="139">
        <f aca="true" t="shared" si="6" ref="E39:J39">E38/$S$38*100</f>
        <v>0.527759365824903</v>
      </c>
      <c r="F39" s="139">
        <f t="shared" si="6"/>
        <v>11.744443447603963</v>
      </c>
      <c r="G39" s="139">
        <f t="shared" si="6"/>
        <v>21.853133782919468</v>
      </c>
      <c r="H39" s="139">
        <f t="shared" si="6"/>
        <v>14.392213901461423</v>
      </c>
      <c r="I39" s="139">
        <f t="shared" si="6"/>
        <v>17.746230656660508</v>
      </c>
      <c r="J39" s="139">
        <f t="shared" si="6"/>
        <v>7.39753309006521</v>
      </c>
      <c r="K39" s="139">
        <f aca="true" t="shared" si="7" ref="K39:R39">K38/$S$38*100</f>
        <v>14.30469922577324</v>
      </c>
      <c r="L39" s="139">
        <f t="shared" si="7"/>
        <v>6.979037778600699</v>
      </c>
      <c r="M39" s="139">
        <f t="shared" si="7"/>
        <v>3.6968050991928014</v>
      </c>
      <c r="N39" s="139">
        <f t="shared" si="7"/>
        <v>0.2767799194959808</v>
      </c>
      <c r="O39" s="139">
        <f t="shared" si="7"/>
        <v>1.118263478765237</v>
      </c>
      <c r="P39" s="139">
        <f t="shared" si="7"/>
        <v>0.1624828744361447</v>
      </c>
      <c r="Q39" s="139">
        <f t="shared" si="7"/>
        <v>0.3283767450253224</v>
      </c>
      <c r="R39" s="139">
        <f t="shared" si="7"/>
        <v>88.25555655239604</v>
      </c>
      <c r="S39" s="139">
        <f>S38/S38*100</f>
        <v>100</v>
      </c>
      <c r="T39" s="139"/>
      <c r="V39" s="23"/>
    </row>
    <row r="40" spans="1:20" ht="27.75" customHeight="1" hidden="1">
      <c r="A40" s="112"/>
      <c r="B40" s="115" t="s">
        <v>108</v>
      </c>
      <c r="C40" s="116"/>
      <c r="D40" s="113">
        <f>D35/S35</f>
        <v>0.12189998344677813</v>
      </c>
      <c r="E40" s="113">
        <f>E35/S35</f>
        <v>0</v>
      </c>
      <c r="F40" s="113">
        <f>F35/S35</f>
        <v>0.12189998344677813</v>
      </c>
      <c r="G40" s="113">
        <f>G35/S35</f>
        <v>0.22097804804430055</v>
      </c>
      <c r="H40" s="113"/>
      <c r="I40" s="113">
        <f>I35/S35</f>
        <v>0.17404141074601726</v>
      </c>
      <c r="J40" s="113"/>
      <c r="K40" s="113">
        <f>K35/S35</f>
        <v>0.14545288381625526</v>
      </c>
      <c r="L40" s="113">
        <f>L35/S35</f>
        <v>0.07022738434332669</v>
      </c>
      <c r="M40" s="113"/>
      <c r="N40" s="113"/>
      <c r="O40" s="113"/>
      <c r="P40" s="113"/>
      <c r="Q40" s="113">
        <f>Q35/S35</f>
        <v>0</v>
      </c>
      <c r="R40" s="113">
        <f>R35/S35</f>
        <v>0.8781000165532219</v>
      </c>
      <c r="S40" s="113">
        <f>S35/S35</f>
        <v>1</v>
      </c>
      <c r="T40" s="143"/>
    </row>
    <row r="41" spans="1:20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40"/>
    </row>
    <row r="42" spans="1:20" ht="14.25">
      <c r="A42" s="107" t="str">
        <f>'Anne-4'!A40</f>
        <v>Conn. As on 31.05.2013</v>
      </c>
      <c r="B42" s="108"/>
      <c r="C42" s="118">
        <v>5</v>
      </c>
      <c r="D42" s="8">
        <v>98066315</v>
      </c>
      <c r="E42" s="8">
        <v>4898467</v>
      </c>
      <c r="F42" s="8">
        <v>102964782</v>
      </c>
      <c r="G42" s="8">
        <v>189649322</v>
      </c>
      <c r="H42" s="8">
        <v>124898961</v>
      </c>
      <c r="I42" s="8">
        <v>154686843</v>
      </c>
      <c r="J42" s="8">
        <v>65265214</v>
      </c>
      <c r="K42" s="8">
        <v>123758712</v>
      </c>
      <c r="L42" s="8">
        <v>60358016</v>
      </c>
      <c r="M42" s="8">
        <v>31999931</v>
      </c>
      <c r="N42" s="8">
        <v>2285177</v>
      </c>
      <c r="O42" s="8">
        <v>10119469</v>
      </c>
      <c r="P42" s="8">
        <v>1442686</v>
      </c>
      <c r="Q42" s="8">
        <v>2925089</v>
      </c>
      <c r="R42" s="8">
        <v>767389420</v>
      </c>
      <c r="S42" s="8">
        <v>870354202</v>
      </c>
      <c r="T42" s="142">
        <f>(D42)/S42*100</f>
        <v>11.267402946369645</v>
      </c>
    </row>
    <row r="43" spans="1:22" ht="14.25">
      <c r="A43" s="107" t="str">
        <f>'Anne-4'!A41</f>
        <v>Addition during Jun 2013</v>
      </c>
      <c r="B43" s="108"/>
      <c r="C43" s="118">
        <v>10</v>
      </c>
      <c r="D43" s="8">
        <f aca="true" t="shared" si="8" ref="D43:S43">D38-D42</f>
        <v>-75595</v>
      </c>
      <c r="E43" s="8">
        <f t="shared" si="8"/>
        <v>-287878</v>
      </c>
      <c r="F43" s="8">
        <f t="shared" si="8"/>
        <v>-363473</v>
      </c>
      <c r="G43" s="8">
        <f t="shared" si="8"/>
        <v>1263099</v>
      </c>
      <c r="H43" s="8">
        <f t="shared" si="8"/>
        <v>833688</v>
      </c>
      <c r="I43" s="8">
        <f t="shared" si="8"/>
        <v>347025</v>
      </c>
      <c r="J43" s="8">
        <f t="shared" si="8"/>
        <v>-639199</v>
      </c>
      <c r="K43" s="8">
        <f t="shared" si="8"/>
        <v>1209395</v>
      </c>
      <c r="L43" s="8">
        <f t="shared" si="8"/>
        <v>611958</v>
      </c>
      <c r="M43" s="8">
        <f>M38-M42</f>
        <v>295941</v>
      </c>
      <c r="N43" s="8">
        <f>N38-N42</f>
        <v>132816</v>
      </c>
      <c r="O43" s="8">
        <f>O38-O42</f>
        <v>-350143</v>
      </c>
      <c r="P43" s="8">
        <f>P38-P42</f>
        <v>-23210</v>
      </c>
      <c r="Q43" s="8">
        <f t="shared" si="8"/>
        <v>-56338</v>
      </c>
      <c r="R43" s="8">
        <f t="shared" si="8"/>
        <v>3625032</v>
      </c>
      <c r="S43" s="8">
        <f t="shared" si="8"/>
        <v>3261559</v>
      </c>
      <c r="T43" s="420" t="s">
        <v>130</v>
      </c>
      <c r="V43" s="158">
        <f>T38-T42</f>
        <v>-0.050718864590583834</v>
      </c>
    </row>
    <row r="44" spans="1:22" ht="14.25">
      <c r="A44" s="107" t="str">
        <f>'Anne-4'!A42</f>
        <v>Conn. As on 31.03.2013</v>
      </c>
      <c r="B44" s="110"/>
      <c r="C44" s="4">
        <v>5</v>
      </c>
      <c r="D44" s="8">
        <v>101206625</v>
      </c>
      <c r="E44" s="8">
        <v>5000825</v>
      </c>
      <c r="F44" s="8">
        <v>106207450</v>
      </c>
      <c r="G44" s="8">
        <v>188196071</v>
      </c>
      <c r="H44" s="8">
        <v>122972717</v>
      </c>
      <c r="I44" s="8">
        <v>152353654</v>
      </c>
      <c r="J44" s="8">
        <v>66416138</v>
      </c>
      <c r="K44" s="8">
        <v>121607390</v>
      </c>
      <c r="L44" s="8">
        <v>60071967</v>
      </c>
      <c r="M44" s="8">
        <v>31683600</v>
      </c>
      <c r="N44" s="8">
        <v>2009474</v>
      </c>
      <c r="O44" s="8">
        <v>11912010</v>
      </c>
      <c r="P44" s="8">
        <v>1367658</v>
      </c>
      <c r="Q44" s="8">
        <v>2987976</v>
      </c>
      <c r="R44" s="8">
        <v>761578655</v>
      </c>
      <c r="S44" s="8">
        <v>867786105</v>
      </c>
      <c r="T44" s="144">
        <f>(D44)/S44*100</f>
        <v>11.662623360395935</v>
      </c>
      <c r="V44" s="158">
        <f>T38-T44</f>
        <v>-0.44593927861687455</v>
      </c>
    </row>
    <row r="45" spans="1:20" ht="14.25">
      <c r="A45" s="107" t="str">
        <f>'Anne-4'!A43</f>
        <v>Addition during 2013-14</v>
      </c>
      <c r="B45" s="108"/>
      <c r="C45" s="4">
        <v>13</v>
      </c>
      <c r="D45" s="8">
        <f>D38-D44</f>
        <v>-3215905</v>
      </c>
      <c r="E45" s="8">
        <f aca="true" t="shared" si="9" ref="E45:Q45">E38-E44</f>
        <v>-390236</v>
      </c>
      <c r="F45" s="8">
        <f t="shared" si="9"/>
        <v>-3606141</v>
      </c>
      <c r="G45" s="8">
        <f t="shared" si="9"/>
        <v>2716350</v>
      </c>
      <c r="H45" s="8">
        <f t="shared" si="9"/>
        <v>2759932</v>
      </c>
      <c r="I45" s="8">
        <f t="shared" si="9"/>
        <v>2680214</v>
      </c>
      <c r="J45" s="8">
        <f t="shared" si="9"/>
        <v>-1790123</v>
      </c>
      <c r="K45" s="8">
        <f t="shared" si="9"/>
        <v>3360717</v>
      </c>
      <c r="L45" s="8">
        <f t="shared" si="9"/>
        <v>898007</v>
      </c>
      <c r="M45" s="8">
        <f>M38-M44</f>
        <v>612272</v>
      </c>
      <c r="N45" s="8">
        <f>N38-N44</f>
        <v>408519</v>
      </c>
      <c r="O45" s="8">
        <f>O38-O44</f>
        <v>-2142684</v>
      </c>
      <c r="P45" s="8">
        <f>P38-P44</f>
        <v>51818</v>
      </c>
      <c r="Q45" s="8">
        <f t="shared" si="9"/>
        <v>-119225</v>
      </c>
      <c r="R45" s="8">
        <f>R38-R44</f>
        <v>9435797</v>
      </c>
      <c r="S45" s="8">
        <f>S38-S44</f>
        <v>5829656</v>
      </c>
      <c r="T45" s="420" t="s">
        <v>130</v>
      </c>
    </row>
    <row r="46" spans="2:20" ht="15">
      <c r="B46" s="26"/>
      <c r="C46" s="26"/>
      <c r="S46" s="23"/>
      <c r="T46" s="23"/>
    </row>
    <row r="47" spans="2:20" ht="15">
      <c r="B47" s="26"/>
      <c r="C47" s="26"/>
      <c r="D47" s="313">
        <f>D45/D44*100</f>
        <v>-3.177563721742524</v>
      </c>
      <c r="K47" s="23"/>
      <c r="S47" s="313">
        <f>S45/S44*100</f>
        <v>0.671784897961693</v>
      </c>
      <c r="T47" s="23"/>
    </row>
    <row r="48" spans="2:19" ht="15">
      <c r="B48" s="26"/>
      <c r="C48" s="26"/>
      <c r="D48" s="23"/>
      <c r="S48" s="23"/>
    </row>
    <row r="49" spans="2:19" ht="15">
      <c r="B49" s="26"/>
      <c r="C49" s="26"/>
      <c r="D49" s="23">
        <f>D11+D23</f>
        <v>2993275</v>
      </c>
      <c r="S49" s="23">
        <f>S11+S23</f>
        <v>23940003</v>
      </c>
    </row>
    <row r="50" spans="2:19" ht="15">
      <c r="B50" s="26"/>
      <c r="C50" s="26"/>
      <c r="S50" s="23"/>
    </row>
    <row r="51" ht="14.25">
      <c r="S51" s="23"/>
    </row>
    <row r="52" ht="14.25">
      <c r="R52" s="23"/>
    </row>
  </sheetData>
  <sheetProtection/>
  <mergeCells count="20">
    <mergeCell ref="F7:F8"/>
    <mergeCell ref="E7:E8"/>
    <mergeCell ref="A6:A8"/>
    <mergeCell ref="B6:B8"/>
    <mergeCell ref="C7:C8"/>
    <mergeCell ref="D7:D8"/>
    <mergeCell ref="J7:J8"/>
    <mergeCell ref="P7:P8"/>
    <mergeCell ref="I7:I8"/>
    <mergeCell ref="G7:G8"/>
    <mergeCell ref="K7:K8"/>
    <mergeCell ref="L7:L8"/>
    <mergeCell ref="N7:N8"/>
    <mergeCell ref="H7:H8"/>
    <mergeCell ref="T6:T8"/>
    <mergeCell ref="M7:M8"/>
    <mergeCell ref="R6:R8"/>
    <mergeCell ref="O7:O8"/>
    <mergeCell ref="S6:S8"/>
    <mergeCell ref="Q7:Q8"/>
  </mergeCells>
  <conditionalFormatting sqref="T10:T38">
    <cfRule type="top10" priority="4" dxfId="1" stopIfTrue="1" rank="5"/>
  </conditionalFormatting>
  <conditionalFormatting sqref="T10:T38">
    <cfRule type="top10" priority="2" dxfId="1" stopIfTrue="1" rank="5" bottom="1"/>
    <cfRule type="top10" priority="3" dxfId="0" stopIfTrue="1" rank="5"/>
  </conditionalFormatting>
  <conditionalFormatting sqref="T10:T38">
    <cfRule type="top10" priority="1" dxfId="1" stopIfTrue="1" rank="5"/>
  </conditionalFormatting>
  <conditionalFormatting sqref="T42 T10:T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 horizontalCentered="1" verticalCentered="1"/>
  <pageMargins left="0.1968503937007874" right="0" top="0.6299212598425197" bottom="0.2362204724409449" header="0.5118110236220472" footer="0.511811023622047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3" sqref="I33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5.7109375" style="2" customWidth="1"/>
    <col min="4" max="4" width="11.7109375" style="2" customWidth="1"/>
    <col min="5" max="5" width="10.140625" style="2" customWidth="1"/>
    <col min="6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2.7109375" style="2" customWidth="1"/>
    <col min="23" max="23" width="10.8515625" style="2" customWidth="1"/>
    <col min="24" max="24" width="10.00390625" style="2" customWidth="1"/>
    <col min="25" max="25" width="12.7109375" style="2" customWidth="1"/>
    <col min="26" max="26" width="13.00390625" style="2" customWidth="1"/>
    <col min="27" max="27" width="10.57421875" style="2" customWidth="1"/>
    <col min="28" max="28" width="11.7109375" style="2" customWidth="1"/>
    <col min="29" max="29" width="13.421875" style="2" customWidth="1"/>
    <col min="30" max="30" width="13.8515625" style="2" customWidth="1"/>
    <col min="31" max="31" width="13.140625" style="2" customWidth="1"/>
    <col min="32" max="32" width="15.8515625" style="2" customWidth="1"/>
    <col min="33" max="33" width="14.140625" style="2" customWidth="1"/>
    <col min="34" max="34" width="11.28125" style="2" customWidth="1"/>
    <col min="35" max="35" width="15.57421875" style="2" customWidth="1"/>
    <col min="36" max="36" width="12.421875" style="2" bestFit="1" customWidth="1"/>
    <col min="37" max="37" width="11.28125" style="2" customWidth="1"/>
    <col min="38" max="16384" width="9.140625" style="2" customWidth="1"/>
  </cols>
  <sheetData>
    <row r="1" spans="5:26" ht="15">
      <c r="E1" s="14"/>
      <c r="Z1" s="76" t="s">
        <v>112</v>
      </c>
    </row>
    <row r="2" spans="2:7" ht="14.25">
      <c r="B2" s="2" t="str">
        <f>'Anne-5'!B2</f>
        <v>No. 1-2(1)/Market Share/2012-CP&amp;M </v>
      </c>
      <c r="G2" s="2" t="str">
        <f>'Anne-4'!H2</f>
        <v>Dated: 19th August 2013.</v>
      </c>
    </row>
    <row r="4" spans="2:3" ht="15">
      <c r="B4" s="76" t="s">
        <v>232</v>
      </c>
      <c r="C4" s="76"/>
    </row>
    <row r="5" spans="4:24" ht="14.25">
      <c r="D5" s="90">
        <v>1</v>
      </c>
      <c r="E5" s="90">
        <v>2</v>
      </c>
      <c r="F5" s="90"/>
      <c r="G5" s="90">
        <v>3</v>
      </c>
      <c r="H5" s="90"/>
      <c r="I5" s="90">
        <v>4</v>
      </c>
      <c r="J5" s="90"/>
      <c r="K5" s="90">
        <v>5</v>
      </c>
      <c r="L5" s="90"/>
      <c r="M5" s="90"/>
      <c r="N5" s="90">
        <v>6</v>
      </c>
      <c r="O5" s="90"/>
      <c r="P5" s="90"/>
      <c r="Q5" s="90"/>
      <c r="R5" s="90"/>
      <c r="S5" s="90">
        <v>7</v>
      </c>
      <c r="T5" s="90"/>
      <c r="U5" s="90"/>
      <c r="V5" s="90">
        <v>8</v>
      </c>
      <c r="W5" s="90">
        <v>9</v>
      </c>
      <c r="X5" s="90">
        <v>10</v>
      </c>
    </row>
    <row r="6" spans="1:30" ht="15">
      <c r="A6" s="464" t="s">
        <v>19</v>
      </c>
      <c r="B6" s="464" t="s">
        <v>20</v>
      </c>
      <c r="C6" s="45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553" t="s">
        <v>53</v>
      </c>
      <c r="Z6" s="547" t="s">
        <v>70</v>
      </c>
      <c r="AA6" s="554" t="s">
        <v>120</v>
      </c>
      <c r="AB6" s="550" t="s">
        <v>99</v>
      </c>
      <c r="AC6" s="550"/>
      <c r="AD6" s="550"/>
    </row>
    <row r="7" spans="1:30" s="41" customFormat="1" ht="15.75" customHeight="1">
      <c r="A7" s="464"/>
      <c r="B7" s="464"/>
      <c r="C7" s="468" t="s">
        <v>118</v>
      </c>
      <c r="D7" s="559" t="s">
        <v>1</v>
      </c>
      <c r="E7" s="558" t="s">
        <v>2</v>
      </c>
      <c r="F7" s="553" t="s">
        <v>52</v>
      </c>
      <c r="G7" s="547" t="s">
        <v>54</v>
      </c>
      <c r="H7" s="366" t="s">
        <v>3</v>
      </c>
      <c r="I7" s="547" t="s">
        <v>110</v>
      </c>
      <c r="J7" s="367"/>
      <c r="K7" s="547" t="s">
        <v>55</v>
      </c>
      <c r="L7" s="367" t="s">
        <v>10</v>
      </c>
      <c r="M7" s="557" t="s">
        <v>14</v>
      </c>
      <c r="N7" s="547" t="s">
        <v>56</v>
      </c>
      <c r="O7" s="560" t="s">
        <v>11</v>
      </c>
      <c r="P7" s="561"/>
      <c r="Q7" s="561"/>
      <c r="R7" s="562"/>
      <c r="S7" s="547" t="s">
        <v>117</v>
      </c>
      <c r="T7" s="557" t="s">
        <v>13</v>
      </c>
      <c r="U7" s="557" t="s">
        <v>8</v>
      </c>
      <c r="V7" s="549" t="s">
        <v>134</v>
      </c>
      <c r="W7" s="549" t="s">
        <v>144</v>
      </c>
      <c r="X7" s="547" t="s">
        <v>185</v>
      </c>
      <c r="Y7" s="551"/>
      <c r="Z7" s="551"/>
      <c r="AA7" s="555"/>
      <c r="AB7" s="550"/>
      <c r="AC7" s="550"/>
      <c r="AD7" s="550"/>
    </row>
    <row r="8" spans="1:32" s="41" customFormat="1" ht="30.75" customHeight="1">
      <c r="A8" s="464"/>
      <c r="B8" s="464"/>
      <c r="C8" s="469"/>
      <c r="D8" s="559"/>
      <c r="E8" s="558"/>
      <c r="F8" s="552"/>
      <c r="G8" s="548"/>
      <c r="H8" s="75" t="s">
        <v>75</v>
      </c>
      <c r="I8" s="548"/>
      <c r="J8" s="365" t="s">
        <v>107</v>
      </c>
      <c r="K8" s="548"/>
      <c r="L8" s="368" t="s">
        <v>4</v>
      </c>
      <c r="M8" s="547"/>
      <c r="N8" s="548"/>
      <c r="O8" s="368"/>
      <c r="P8" s="365" t="s">
        <v>12</v>
      </c>
      <c r="Q8" s="365" t="s">
        <v>7</v>
      </c>
      <c r="R8" s="365" t="s">
        <v>9</v>
      </c>
      <c r="S8" s="548"/>
      <c r="T8" s="547"/>
      <c r="U8" s="547"/>
      <c r="V8" s="549"/>
      <c r="W8" s="549"/>
      <c r="X8" s="548"/>
      <c r="Y8" s="552"/>
      <c r="Z8" s="552"/>
      <c r="AA8" s="556"/>
      <c r="AB8" s="52" t="s">
        <v>47</v>
      </c>
      <c r="AC8" s="45" t="s">
        <v>87</v>
      </c>
      <c r="AD8" s="45" t="s">
        <v>88</v>
      </c>
      <c r="AE8" s="41" t="s">
        <v>122</v>
      </c>
      <c r="AF8" s="369" t="s">
        <v>116</v>
      </c>
    </row>
    <row r="9" spans="1:33" ht="30.75" customHeight="1">
      <c r="A9" s="5">
        <v>1</v>
      </c>
      <c r="B9" s="6" t="s">
        <v>21</v>
      </c>
      <c r="C9" s="6"/>
      <c r="D9" s="25"/>
      <c r="E9" s="10"/>
      <c r="F9" s="8">
        <f>D9+E9</f>
        <v>0</v>
      </c>
      <c r="G9" s="10">
        <f>H9</f>
        <v>0</v>
      </c>
      <c r="H9" s="30"/>
      <c r="I9" s="8"/>
      <c r="J9" s="8"/>
      <c r="K9" s="9"/>
      <c r="L9" s="8"/>
      <c r="M9" s="9"/>
      <c r="N9" s="8"/>
      <c r="O9" s="70"/>
      <c r="P9" s="70"/>
      <c r="Q9" s="70"/>
      <c r="R9" s="206"/>
      <c r="S9" s="70">
        <f>T9+U9</f>
        <v>0</v>
      </c>
      <c r="T9" s="206"/>
      <c r="U9" s="206"/>
      <c r="V9" s="8"/>
      <c r="W9" s="8"/>
      <c r="X9" s="8"/>
      <c r="Y9" s="35">
        <f>G9+I9+K9+N9+S9+V9+W9+X9</f>
        <v>0</v>
      </c>
      <c r="Z9" s="36">
        <f aca="true" t="shared" si="0" ref="Z9:Z34">Y9+F9</f>
        <v>0</v>
      </c>
      <c r="AA9" s="55"/>
      <c r="AB9" s="46">
        <f>AC9+AD9</f>
        <v>209093</v>
      </c>
      <c r="AC9" s="38">
        <v>120952</v>
      </c>
      <c r="AD9" s="38">
        <v>88141</v>
      </c>
      <c r="AF9" s="100">
        <v>209093</v>
      </c>
      <c r="AG9" s="2">
        <v>105270</v>
      </c>
    </row>
    <row r="10" spans="1:36" ht="13.5" customHeight="1">
      <c r="A10" s="5">
        <v>2</v>
      </c>
      <c r="B10" s="6" t="s">
        <v>22</v>
      </c>
      <c r="C10" s="85">
        <v>3</v>
      </c>
      <c r="D10" s="70">
        <f>AB10</f>
        <v>9362687</v>
      </c>
      <c r="E10" s="8"/>
      <c r="F10" s="8">
        <f>D10+E10</f>
        <v>9362687</v>
      </c>
      <c r="G10" s="207">
        <f aca="true" t="shared" si="1" ref="G10:G37">H10</f>
        <v>18521564</v>
      </c>
      <c r="H10" s="100">
        <v>18521564</v>
      </c>
      <c r="I10" s="8">
        <f>J10</f>
        <v>5872710</v>
      </c>
      <c r="J10" s="30">
        <v>5872710</v>
      </c>
      <c r="K10" s="8">
        <f>L10+M10</f>
        <v>1798359</v>
      </c>
      <c r="L10" s="30">
        <v>1798359</v>
      </c>
      <c r="M10" s="8"/>
      <c r="N10" s="84">
        <f aca="true" t="shared" si="2" ref="N10:N34">O10+P10+Q10</f>
        <v>11569388</v>
      </c>
      <c r="O10" s="30">
        <v>11569388</v>
      </c>
      <c r="P10" s="70"/>
      <c r="Q10" s="70"/>
      <c r="R10" s="70"/>
      <c r="S10" s="70">
        <f aca="true" t="shared" si="3" ref="S10:S37">T10+U10</f>
        <v>0</v>
      </c>
      <c r="T10" s="70">
        <v>0</v>
      </c>
      <c r="U10" s="70"/>
      <c r="V10" s="8">
        <v>4450683</v>
      </c>
      <c r="W10" s="8"/>
      <c r="X10" s="8"/>
      <c r="Y10" s="35">
        <f aca="true" t="shared" si="4" ref="Y10:Y37">G10+I10+K10+N10+S10+V10+W10+X10</f>
        <v>42212704</v>
      </c>
      <c r="Z10" s="36">
        <f t="shared" si="0"/>
        <v>51575391</v>
      </c>
      <c r="AA10" s="142">
        <f>(D10)/Z10*100</f>
        <v>18.15339994223214</v>
      </c>
      <c r="AB10" s="46">
        <f aca="true" t="shared" si="5" ref="AB10:AB34">AC10+AD10</f>
        <v>9362687</v>
      </c>
      <c r="AC10" s="38">
        <v>4259700</v>
      </c>
      <c r="AD10" s="38">
        <v>5102987</v>
      </c>
      <c r="AF10" s="159">
        <v>9362687</v>
      </c>
      <c r="AG10" s="2">
        <v>4078007</v>
      </c>
      <c r="AI10" s="2">
        <v>7694250</v>
      </c>
      <c r="AJ10" s="23">
        <f aca="true" t="shared" si="6" ref="AJ10:AJ34">AI10-S10</f>
        <v>7694250</v>
      </c>
    </row>
    <row r="11" spans="1:36" ht="16.5" customHeight="1">
      <c r="A11" s="5">
        <v>3</v>
      </c>
      <c r="B11" s="6" t="s">
        <v>23</v>
      </c>
      <c r="C11" s="85">
        <v>5</v>
      </c>
      <c r="D11" s="70">
        <f>AB11</f>
        <v>1131452</v>
      </c>
      <c r="E11" s="8"/>
      <c r="F11" s="8">
        <f aca="true" t="shared" si="7" ref="F11:F37">D11+E11</f>
        <v>1131452</v>
      </c>
      <c r="G11" s="207">
        <f t="shared" si="1"/>
        <v>4101733</v>
      </c>
      <c r="H11" s="30">
        <v>4101733</v>
      </c>
      <c r="I11" s="84">
        <f>J11</f>
        <v>2506043</v>
      </c>
      <c r="J11" s="30">
        <v>2506043</v>
      </c>
      <c r="K11" s="84">
        <f aca="true" t="shared" si="8" ref="K11:K38">L11+M11</f>
        <v>3547608</v>
      </c>
      <c r="L11" s="8"/>
      <c r="M11" s="30">
        <v>3547608</v>
      </c>
      <c r="N11" s="8">
        <f t="shared" si="2"/>
        <v>440032</v>
      </c>
      <c r="O11" s="30">
        <v>440032</v>
      </c>
      <c r="Q11" s="70"/>
      <c r="R11" s="70"/>
      <c r="S11" s="93">
        <f>T11+U11</f>
        <v>2921103</v>
      </c>
      <c r="T11" s="30">
        <v>2921103</v>
      </c>
      <c r="U11" s="70"/>
      <c r="V11" s="8"/>
      <c r="W11" s="8"/>
      <c r="X11" s="8"/>
      <c r="Y11" s="35">
        <f t="shared" si="4"/>
        <v>13516519</v>
      </c>
      <c r="Z11" s="36">
        <f t="shared" si="0"/>
        <v>14647971</v>
      </c>
      <c r="AA11" s="142">
        <f>(D11)/Z11*100</f>
        <v>7.724291644214752</v>
      </c>
      <c r="AB11" s="46">
        <f t="shared" si="5"/>
        <v>1131452</v>
      </c>
      <c r="AC11" s="38">
        <v>813521</v>
      </c>
      <c r="AD11" s="38">
        <v>317931</v>
      </c>
      <c r="AF11" s="159">
        <v>1131452</v>
      </c>
      <c r="AG11" s="2">
        <v>1009899</v>
      </c>
      <c r="AI11" s="2">
        <v>1880216</v>
      </c>
      <c r="AJ11" s="23">
        <f t="shared" si="6"/>
        <v>-1040887</v>
      </c>
    </row>
    <row r="12" spans="1:36" ht="15">
      <c r="A12" s="5">
        <v>4</v>
      </c>
      <c r="B12" s="6" t="s">
        <v>24</v>
      </c>
      <c r="C12" s="85">
        <v>7</v>
      </c>
      <c r="D12" s="70">
        <f>AB12+AB18</f>
        <v>3607702</v>
      </c>
      <c r="E12" s="8"/>
      <c r="F12" s="8">
        <f t="shared" si="7"/>
        <v>3607702</v>
      </c>
      <c r="G12" s="207">
        <f t="shared" si="1"/>
        <v>20275101</v>
      </c>
      <c r="H12" s="30">
        <v>20275101</v>
      </c>
      <c r="I12" s="84">
        <f aca="true" t="shared" si="9" ref="I12:I37">J12</f>
        <v>6910292</v>
      </c>
      <c r="J12" s="30">
        <v>6910292</v>
      </c>
      <c r="K12" s="84">
        <f t="shared" si="8"/>
        <v>4711600</v>
      </c>
      <c r="L12" s="8"/>
      <c r="M12" s="30">
        <v>4711600</v>
      </c>
      <c r="N12" s="84">
        <f t="shared" si="2"/>
        <v>6275862</v>
      </c>
      <c r="O12" s="30">
        <v>6275862</v>
      </c>
      <c r="P12" s="70"/>
      <c r="Q12" s="70"/>
      <c r="R12" s="70"/>
      <c r="S12" s="93">
        <f>T12+U12</f>
        <v>5891232</v>
      </c>
      <c r="T12" s="30">
        <v>5891232</v>
      </c>
      <c r="U12" s="70"/>
      <c r="V12" s="84">
        <v>4517009</v>
      </c>
      <c r="W12" s="8"/>
      <c r="X12" s="8"/>
      <c r="Y12" s="35">
        <f t="shared" si="4"/>
        <v>48581096</v>
      </c>
      <c r="Z12" s="36">
        <f t="shared" si="0"/>
        <v>52188798</v>
      </c>
      <c r="AA12" s="142">
        <f>(D12)/Z12*100</f>
        <v>6.912789982248681</v>
      </c>
      <c r="AB12" s="46">
        <f t="shared" si="5"/>
        <v>2076180</v>
      </c>
      <c r="AC12" s="38">
        <v>1291045</v>
      </c>
      <c r="AD12" s="38">
        <v>785135</v>
      </c>
      <c r="AF12" s="159">
        <v>2076180</v>
      </c>
      <c r="AG12" s="2">
        <v>3092531</v>
      </c>
      <c r="AI12" s="2">
        <v>7175844</v>
      </c>
      <c r="AJ12" s="23">
        <f t="shared" si="6"/>
        <v>1284612</v>
      </c>
    </row>
    <row r="13" spans="1:36" ht="14.25">
      <c r="A13" s="5">
        <v>5</v>
      </c>
      <c r="B13" s="6" t="s">
        <v>25</v>
      </c>
      <c r="C13" s="85"/>
      <c r="D13" s="70"/>
      <c r="E13" s="8"/>
      <c r="F13" s="8">
        <f t="shared" si="7"/>
        <v>0</v>
      </c>
      <c r="G13" s="10">
        <f t="shared" si="1"/>
        <v>0</v>
      </c>
      <c r="H13" s="30"/>
      <c r="I13" s="8">
        <f t="shared" si="9"/>
        <v>0</v>
      </c>
      <c r="J13" s="30"/>
      <c r="K13" s="8">
        <f t="shared" si="8"/>
        <v>0</v>
      </c>
      <c r="L13" s="8"/>
      <c r="M13" s="8"/>
      <c r="N13" s="8">
        <f t="shared" si="2"/>
        <v>0</v>
      </c>
      <c r="O13" s="70"/>
      <c r="P13" s="70"/>
      <c r="Q13" s="70"/>
      <c r="R13" s="70"/>
      <c r="S13" s="70">
        <f t="shared" si="3"/>
        <v>0</v>
      </c>
      <c r="T13" s="70">
        <v>0</v>
      </c>
      <c r="U13" s="70"/>
      <c r="V13" s="8"/>
      <c r="W13" s="8"/>
      <c r="X13" s="8"/>
      <c r="Y13" s="35">
        <f t="shared" si="4"/>
        <v>0</v>
      </c>
      <c r="Z13" s="36">
        <f t="shared" si="0"/>
        <v>0</v>
      </c>
      <c r="AA13" s="142"/>
      <c r="AB13" s="46">
        <f t="shared" si="5"/>
        <v>1641992</v>
      </c>
      <c r="AC13" s="38">
        <v>1090923</v>
      </c>
      <c r="AD13" s="38">
        <v>551069</v>
      </c>
      <c r="AF13" s="100">
        <v>1641992</v>
      </c>
      <c r="AG13" s="2">
        <v>885595</v>
      </c>
      <c r="AJ13" s="23">
        <f t="shared" si="6"/>
        <v>0</v>
      </c>
    </row>
    <row r="14" spans="1:36" ht="15">
      <c r="A14" s="5">
        <v>6</v>
      </c>
      <c r="B14" s="6" t="s">
        <v>26</v>
      </c>
      <c r="C14" s="85">
        <v>5</v>
      </c>
      <c r="D14" s="70">
        <f>AB14</f>
        <v>4197018</v>
      </c>
      <c r="E14" s="8"/>
      <c r="F14" s="8">
        <f t="shared" si="7"/>
        <v>4197018</v>
      </c>
      <c r="G14" s="207">
        <f t="shared" si="1"/>
        <v>7057857</v>
      </c>
      <c r="H14" s="30">
        <v>7057857</v>
      </c>
      <c r="I14" s="84">
        <f t="shared" si="9"/>
        <v>16285515</v>
      </c>
      <c r="J14" s="30">
        <v>16285515</v>
      </c>
      <c r="K14" s="8">
        <f t="shared" si="8"/>
        <v>35773</v>
      </c>
      <c r="L14" s="30">
        <v>35773</v>
      </c>
      <c r="M14" s="8"/>
      <c r="N14" s="84">
        <f t="shared" si="2"/>
        <v>8466824</v>
      </c>
      <c r="O14" s="30">
        <v>8466824</v>
      </c>
      <c r="P14" s="70"/>
      <c r="Q14" s="70"/>
      <c r="R14" s="70"/>
      <c r="S14" s="70">
        <f t="shared" si="3"/>
        <v>0</v>
      </c>
      <c r="T14" s="70">
        <v>0</v>
      </c>
      <c r="U14" s="70"/>
      <c r="V14" s="84">
        <v>5084389</v>
      </c>
      <c r="W14" s="8">
        <v>702642</v>
      </c>
      <c r="X14" s="8"/>
      <c r="Y14" s="35">
        <f t="shared" si="4"/>
        <v>37633000</v>
      </c>
      <c r="Z14" s="36">
        <f t="shared" si="0"/>
        <v>41830018</v>
      </c>
      <c r="AA14" s="142">
        <f>(D14)/Z14*100</f>
        <v>10.03350751606179</v>
      </c>
      <c r="AB14" s="46">
        <f t="shared" si="5"/>
        <v>4197018</v>
      </c>
      <c r="AC14" s="38">
        <v>2728068</v>
      </c>
      <c r="AD14" s="38">
        <v>1468950</v>
      </c>
      <c r="AF14" s="159">
        <v>4197018</v>
      </c>
      <c r="AG14" s="2">
        <v>2777067</v>
      </c>
      <c r="AI14" s="2">
        <v>6216728</v>
      </c>
      <c r="AJ14" s="23">
        <f t="shared" si="6"/>
        <v>6216728</v>
      </c>
    </row>
    <row r="15" spans="1:36" ht="15">
      <c r="A15" s="5">
        <v>7</v>
      </c>
      <c r="B15" s="6" t="s">
        <v>27</v>
      </c>
      <c r="C15" s="85">
        <v>3</v>
      </c>
      <c r="D15" s="70">
        <f>AB15</f>
        <v>3063076</v>
      </c>
      <c r="E15" s="8"/>
      <c r="F15" s="8">
        <f t="shared" si="7"/>
        <v>3063076</v>
      </c>
      <c r="G15" s="10">
        <f t="shared" si="1"/>
        <v>2314192</v>
      </c>
      <c r="H15" s="30">
        <v>2314192</v>
      </c>
      <c r="I15" s="84">
        <f t="shared" si="9"/>
        <v>4697629</v>
      </c>
      <c r="J15" s="30">
        <v>4697629</v>
      </c>
      <c r="K15" s="8">
        <f t="shared" si="8"/>
        <v>11092</v>
      </c>
      <c r="L15" s="30">
        <v>11092</v>
      </c>
      <c r="M15" s="8"/>
      <c r="N15" s="84">
        <f t="shared" si="2"/>
        <v>3846587</v>
      </c>
      <c r="O15" s="70"/>
      <c r="P15" s="30">
        <v>3846587</v>
      </c>
      <c r="Q15" s="70"/>
      <c r="R15" s="70"/>
      <c r="S15" s="70">
        <f t="shared" si="3"/>
        <v>0</v>
      </c>
      <c r="T15" s="70">
        <v>0</v>
      </c>
      <c r="U15" s="70"/>
      <c r="V15" s="8"/>
      <c r="W15" s="8">
        <v>852520</v>
      </c>
      <c r="X15" s="8"/>
      <c r="Y15" s="35">
        <f t="shared" si="4"/>
        <v>11722020</v>
      </c>
      <c r="Z15" s="36">
        <f t="shared" si="0"/>
        <v>14785096</v>
      </c>
      <c r="AA15" s="142">
        <f>(D15)/Z15*100</f>
        <v>20.717322363006637</v>
      </c>
      <c r="AB15" s="46">
        <f t="shared" si="5"/>
        <v>3063076</v>
      </c>
      <c r="AC15" s="38">
        <v>1429968</v>
      </c>
      <c r="AD15" s="38">
        <v>1633108</v>
      </c>
      <c r="AF15" s="159">
        <v>3063076</v>
      </c>
      <c r="AG15" s="2">
        <v>2286362</v>
      </c>
      <c r="AH15" s="23"/>
      <c r="AI15" s="23">
        <v>2721227</v>
      </c>
      <c r="AJ15" s="23">
        <f t="shared" si="6"/>
        <v>2721227</v>
      </c>
    </row>
    <row r="16" spans="1:36" ht="15">
      <c r="A16" s="5">
        <v>8</v>
      </c>
      <c r="B16" s="6" t="s">
        <v>81</v>
      </c>
      <c r="C16" s="85">
        <v>3</v>
      </c>
      <c r="D16" s="70">
        <f>AB16</f>
        <v>1487825</v>
      </c>
      <c r="E16" s="8"/>
      <c r="F16" s="8">
        <f t="shared" si="7"/>
        <v>1487825</v>
      </c>
      <c r="G16" s="207">
        <f t="shared" si="1"/>
        <v>2035958</v>
      </c>
      <c r="H16" s="30">
        <v>2035958</v>
      </c>
      <c r="I16" s="8">
        <f t="shared" si="9"/>
        <v>523069</v>
      </c>
      <c r="J16" s="30">
        <v>523069</v>
      </c>
      <c r="K16" s="8">
        <f t="shared" si="8"/>
        <v>682129</v>
      </c>
      <c r="L16" s="8"/>
      <c r="M16" s="30">
        <v>682129</v>
      </c>
      <c r="N16" s="8">
        <f t="shared" si="2"/>
        <v>492266</v>
      </c>
      <c r="O16" s="70"/>
      <c r="P16" s="70"/>
      <c r="Q16" s="30">
        <v>492266</v>
      </c>
      <c r="R16" s="70"/>
      <c r="S16" s="93">
        <f>T16+U16</f>
        <v>1568154</v>
      </c>
      <c r="T16" s="30">
        <v>1568154</v>
      </c>
      <c r="U16" s="70"/>
      <c r="V16" s="8"/>
      <c r="W16" s="8"/>
      <c r="X16" s="8"/>
      <c r="Y16" s="35">
        <f t="shared" si="4"/>
        <v>5301576</v>
      </c>
      <c r="Z16" s="36">
        <f t="shared" si="0"/>
        <v>6789401</v>
      </c>
      <c r="AA16" s="142">
        <f>(D16)/Z16*100</f>
        <v>21.913936148417218</v>
      </c>
      <c r="AB16" s="46">
        <f t="shared" si="5"/>
        <v>1487825</v>
      </c>
      <c r="AC16" s="38">
        <v>586907</v>
      </c>
      <c r="AD16" s="38">
        <v>900918</v>
      </c>
      <c r="AF16" s="159">
        <v>1487825</v>
      </c>
      <c r="AG16" s="23">
        <v>1156410</v>
      </c>
      <c r="AH16" s="23"/>
      <c r="AI16" s="2">
        <v>1220916</v>
      </c>
      <c r="AJ16" s="23">
        <f t="shared" si="6"/>
        <v>-347238</v>
      </c>
    </row>
    <row r="17" spans="1:36" ht="15">
      <c r="A17" s="5">
        <v>9</v>
      </c>
      <c r="B17" s="6" t="s">
        <v>82</v>
      </c>
      <c r="C17" s="85">
        <v>3</v>
      </c>
      <c r="D17" s="70">
        <f>AB17</f>
        <v>1131018</v>
      </c>
      <c r="E17" s="8"/>
      <c r="F17" s="8">
        <f t="shared" si="7"/>
        <v>1131018</v>
      </c>
      <c r="G17" s="207">
        <f t="shared" si="1"/>
        <v>2473706</v>
      </c>
      <c r="H17" s="30">
        <v>2473706</v>
      </c>
      <c r="I17" s="8">
        <f t="shared" si="9"/>
        <v>660662</v>
      </c>
      <c r="J17" s="30">
        <v>660662</v>
      </c>
      <c r="K17" s="84">
        <f t="shared" si="8"/>
        <v>1922242</v>
      </c>
      <c r="L17" s="8"/>
      <c r="M17" s="30">
        <v>1922242</v>
      </c>
      <c r="N17" s="8">
        <f t="shared" si="2"/>
        <v>249095</v>
      </c>
      <c r="O17" s="30">
        <v>249095</v>
      </c>
      <c r="P17" s="70"/>
      <c r="Q17" s="70"/>
      <c r="R17" s="70"/>
      <c r="S17" s="70">
        <f t="shared" si="3"/>
        <v>0</v>
      </c>
      <c r="T17" s="70">
        <v>0</v>
      </c>
      <c r="U17" s="70"/>
      <c r="V17" s="8"/>
      <c r="W17" s="8"/>
      <c r="X17" s="8"/>
      <c r="Y17" s="35">
        <f t="shared" si="4"/>
        <v>5305705</v>
      </c>
      <c r="Z17" s="36">
        <f t="shared" si="0"/>
        <v>6436723</v>
      </c>
      <c r="AA17" s="142">
        <f>(D17)/Z17*100</f>
        <v>17.571332493257827</v>
      </c>
      <c r="AB17" s="46">
        <f t="shared" si="5"/>
        <v>1131018</v>
      </c>
      <c r="AC17" s="38">
        <v>1023683</v>
      </c>
      <c r="AD17" s="38">
        <v>107335</v>
      </c>
      <c r="AF17" s="159">
        <v>1131018</v>
      </c>
      <c r="AG17" s="23">
        <v>898433</v>
      </c>
      <c r="AI17" s="23">
        <v>322331</v>
      </c>
      <c r="AJ17" s="23">
        <f t="shared" si="6"/>
        <v>322331</v>
      </c>
    </row>
    <row r="18" spans="1:36" ht="14.25">
      <c r="A18" s="5">
        <v>10</v>
      </c>
      <c r="B18" s="6" t="s">
        <v>30</v>
      </c>
      <c r="C18" s="85"/>
      <c r="D18" s="70"/>
      <c r="E18" s="8"/>
      <c r="F18" s="8">
        <f t="shared" si="7"/>
        <v>0</v>
      </c>
      <c r="G18" s="10">
        <f t="shared" si="1"/>
        <v>0</v>
      </c>
      <c r="H18" s="30"/>
      <c r="I18" s="8">
        <f t="shared" si="9"/>
        <v>0</v>
      </c>
      <c r="J18" s="30"/>
      <c r="K18" s="8">
        <f t="shared" si="8"/>
        <v>0</v>
      </c>
      <c r="L18" s="8"/>
      <c r="M18" s="8"/>
      <c r="N18" s="8">
        <f t="shared" si="2"/>
        <v>0</v>
      </c>
      <c r="O18" s="70"/>
      <c r="P18" s="70"/>
      <c r="Q18" s="70"/>
      <c r="R18" s="70"/>
      <c r="S18" s="70">
        <f t="shared" si="3"/>
        <v>0</v>
      </c>
      <c r="T18" s="70">
        <v>0</v>
      </c>
      <c r="U18" s="70"/>
      <c r="V18" s="8"/>
      <c r="W18" s="8"/>
      <c r="X18" s="8"/>
      <c r="Y18" s="35">
        <f t="shared" si="4"/>
        <v>0</v>
      </c>
      <c r="Z18" s="36">
        <f t="shared" si="0"/>
        <v>0</v>
      </c>
      <c r="AA18" s="142"/>
      <c r="AB18" s="46">
        <f t="shared" si="5"/>
        <v>1531522</v>
      </c>
      <c r="AC18" s="38">
        <v>1100624</v>
      </c>
      <c r="AD18" s="38">
        <v>430898</v>
      </c>
      <c r="AF18" s="100">
        <v>1531522</v>
      </c>
      <c r="AG18" s="2">
        <v>1073097</v>
      </c>
      <c r="AJ18" s="23">
        <f t="shared" si="6"/>
        <v>0</v>
      </c>
    </row>
    <row r="19" spans="1:36" ht="15">
      <c r="A19" s="5">
        <v>11</v>
      </c>
      <c r="B19" s="6" t="s">
        <v>31</v>
      </c>
      <c r="C19" s="85">
        <v>2</v>
      </c>
      <c r="D19" s="70">
        <f>AB19</f>
        <v>6933599</v>
      </c>
      <c r="E19" s="8"/>
      <c r="F19" s="8">
        <f t="shared" si="7"/>
        <v>6933599</v>
      </c>
      <c r="G19" s="207">
        <f t="shared" si="1"/>
        <v>16355229</v>
      </c>
      <c r="H19" s="30">
        <v>16355229</v>
      </c>
      <c r="I19" s="8">
        <f t="shared" si="9"/>
        <v>6780471</v>
      </c>
      <c r="J19" s="30">
        <v>6780471</v>
      </c>
      <c r="K19" s="8">
        <f t="shared" si="8"/>
        <v>1918124</v>
      </c>
      <c r="L19" s="30">
        <v>1918124</v>
      </c>
      <c r="M19" s="8"/>
      <c r="N19" s="8">
        <f>R19</f>
        <v>6342955</v>
      </c>
      <c r="O19" s="70"/>
      <c r="P19" s="70"/>
      <c r="Q19" s="70"/>
      <c r="R19" s="30">
        <v>6342955</v>
      </c>
      <c r="S19" s="70">
        <f t="shared" si="3"/>
        <v>0</v>
      </c>
      <c r="T19" s="70">
        <v>0</v>
      </c>
      <c r="U19" s="70"/>
      <c r="V19" s="8"/>
      <c r="W19" s="8"/>
      <c r="X19" s="8"/>
      <c r="Y19" s="35">
        <f t="shared" si="4"/>
        <v>31396779</v>
      </c>
      <c r="Z19" s="36">
        <f t="shared" si="0"/>
        <v>38330378</v>
      </c>
      <c r="AA19" s="142">
        <f>(D19)/Z19*100</f>
        <v>18.08904415187348</v>
      </c>
      <c r="AB19" s="46">
        <f t="shared" si="5"/>
        <v>6933599</v>
      </c>
      <c r="AC19" s="38">
        <v>5490767</v>
      </c>
      <c r="AD19" s="38">
        <v>1442832</v>
      </c>
      <c r="AF19" s="159">
        <v>6933599</v>
      </c>
      <c r="AG19" s="23">
        <v>3143061</v>
      </c>
      <c r="AI19" s="23">
        <v>6393570</v>
      </c>
      <c r="AJ19" s="23">
        <f t="shared" si="6"/>
        <v>6393570</v>
      </c>
    </row>
    <row r="20" spans="1:36" ht="15">
      <c r="A20" s="5">
        <v>12</v>
      </c>
      <c r="B20" s="6" t="s">
        <v>32</v>
      </c>
      <c r="C20" s="85">
        <v>2</v>
      </c>
      <c r="D20" s="70">
        <f>AB20</f>
        <v>7604817</v>
      </c>
      <c r="E20" s="8"/>
      <c r="F20" s="8">
        <f t="shared" si="7"/>
        <v>7604817</v>
      </c>
      <c r="G20" s="10">
        <f>H20</f>
        <v>3547360</v>
      </c>
      <c r="H20" s="30">
        <v>3547360</v>
      </c>
      <c r="I20" s="8">
        <f t="shared" si="9"/>
        <v>6385292</v>
      </c>
      <c r="J20" s="30">
        <v>6385292</v>
      </c>
      <c r="K20" s="8">
        <f t="shared" si="8"/>
        <v>29883</v>
      </c>
      <c r="L20" s="8"/>
      <c r="M20" s="30">
        <v>29883</v>
      </c>
      <c r="N20" s="84">
        <f t="shared" si="2"/>
        <v>8161641</v>
      </c>
      <c r="O20" s="70"/>
      <c r="P20" s="30">
        <v>8161641</v>
      </c>
      <c r="Q20" s="70"/>
      <c r="R20" s="70"/>
      <c r="S20" s="70">
        <f t="shared" si="3"/>
        <v>0</v>
      </c>
      <c r="T20" s="70">
        <v>0</v>
      </c>
      <c r="U20" s="70"/>
      <c r="V20" s="8"/>
      <c r="W20" s="8"/>
      <c r="X20" s="8"/>
      <c r="Y20" s="35">
        <f t="shared" si="4"/>
        <v>18124176</v>
      </c>
      <c r="Z20" s="36">
        <f t="shared" si="0"/>
        <v>25728993</v>
      </c>
      <c r="AA20" s="142">
        <f>(D20)/Z20*100</f>
        <v>29.55738298813327</v>
      </c>
      <c r="AB20" s="46">
        <f t="shared" si="5"/>
        <v>7604817</v>
      </c>
      <c r="AC20" s="38">
        <v>4524901</v>
      </c>
      <c r="AD20" s="38">
        <v>3079916</v>
      </c>
      <c r="AF20" s="159">
        <v>7604817</v>
      </c>
      <c r="AG20" s="2">
        <v>3438993</v>
      </c>
      <c r="AI20" s="2">
        <v>3615118</v>
      </c>
      <c r="AJ20" s="23">
        <f t="shared" si="6"/>
        <v>3615118</v>
      </c>
    </row>
    <row r="21" spans="1:36" ht="15">
      <c r="A21" s="5">
        <v>13</v>
      </c>
      <c r="B21" s="6" t="s">
        <v>83</v>
      </c>
      <c r="C21" s="85">
        <v>4</v>
      </c>
      <c r="D21" s="70">
        <f>AB21+AB13</f>
        <v>4852356</v>
      </c>
      <c r="E21" s="8"/>
      <c r="F21" s="8">
        <f t="shared" si="7"/>
        <v>4852356</v>
      </c>
      <c r="G21" s="207">
        <f t="shared" si="1"/>
        <v>10232522</v>
      </c>
      <c r="H21" s="30">
        <v>10232522</v>
      </c>
      <c r="I21" s="8">
        <f t="shared" si="9"/>
        <v>4230893</v>
      </c>
      <c r="J21" s="30">
        <v>4230893</v>
      </c>
      <c r="K21" s="8">
        <f t="shared" si="8"/>
        <v>22694</v>
      </c>
      <c r="L21" s="30">
        <v>22694</v>
      </c>
      <c r="M21" s="8"/>
      <c r="N21" s="84">
        <f t="shared" si="2"/>
        <v>16070788</v>
      </c>
      <c r="O21" s="30">
        <v>16070788</v>
      </c>
      <c r="P21" s="70"/>
      <c r="Q21" s="70"/>
      <c r="R21" s="70"/>
      <c r="S21" s="93">
        <f>T21+U21</f>
        <v>8313704</v>
      </c>
      <c r="T21" s="30">
        <v>8313704</v>
      </c>
      <c r="U21" s="70"/>
      <c r="V21" s="8"/>
      <c r="W21" s="8">
        <v>862831</v>
      </c>
      <c r="X21" s="8"/>
      <c r="Y21" s="35">
        <f t="shared" si="4"/>
        <v>39733432</v>
      </c>
      <c r="Z21" s="36">
        <f t="shared" si="0"/>
        <v>44585788</v>
      </c>
      <c r="AA21" s="142">
        <f>(D21)/Z21*100</f>
        <v>10.883189952816355</v>
      </c>
      <c r="AB21" s="46">
        <f t="shared" si="5"/>
        <v>3210364</v>
      </c>
      <c r="AC21" s="38">
        <v>2095854</v>
      </c>
      <c r="AD21" s="38">
        <v>1114510</v>
      </c>
      <c r="AF21" s="159">
        <v>3210364</v>
      </c>
      <c r="AG21" s="2">
        <v>2094151</v>
      </c>
      <c r="AI21" s="2">
        <v>9032056</v>
      </c>
      <c r="AJ21" s="23">
        <f t="shared" si="6"/>
        <v>718352</v>
      </c>
    </row>
    <row r="22" spans="1:36" ht="15">
      <c r="A22" s="5">
        <v>14</v>
      </c>
      <c r="B22" s="6" t="s">
        <v>34</v>
      </c>
      <c r="C22" s="85">
        <v>4</v>
      </c>
      <c r="D22" s="70">
        <f>AB22</f>
        <v>6454945</v>
      </c>
      <c r="E22" s="8"/>
      <c r="F22" s="8">
        <f t="shared" si="7"/>
        <v>6454945</v>
      </c>
      <c r="G22" s="207">
        <f t="shared" si="1"/>
        <v>10033460</v>
      </c>
      <c r="H22" s="30">
        <v>10033460</v>
      </c>
      <c r="I22" s="84">
        <f t="shared" si="9"/>
        <v>13644766</v>
      </c>
      <c r="J22" s="30">
        <v>13644766</v>
      </c>
      <c r="K22" s="8">
        <f t="shared" si="8"/>
        <v>1246495</v>
      </c>
      <c r="L22" s="30">
        <v>1246495</v>
      </c>
      <c r="M22" s="8"/>
      <c r="N22" s="84">
        <f t="shared" si="2"/>
        <v>16786007</v>
      </c>
      <c r="O22" s="30">
        <v>16786007</v>
      </c>
      <c r="P22" s="70"/>
      <c r="Q22" s="70"/>
      <c r="R22" s="70"/>
      <c r="S22" s="70">
        <f t="shared" si="3"/>
        <v>0</v>
      </c>
      <c r="T22" s="70">
        <v>0</v>
      </c>
      <c r="U22" s="70"/>
      <c r="V22" s="8">
        <v>5541113</v>
      </c>
      <c r="W22" s="8"/>
      <c r="X22" s="8"/>
      <c r="Y22" s="35">
        <f t="shared" si="4"/>
        <v>47251841</v>
      </c>
      <c r="Z22" s="36">
        <f t="shared" si="0"/>
        <v>53706786</v>
      </c>
      <c r="AA22" s="142">
        <f>(D22)/Z22*100</f>
        <v>12.018862942198776</v>
      </c>
      <c r="AB22" s="46">
        <f t="shared" si="5"/>
        <v>6454945</v>
      </c>
      <c r="AC22" s="38">
        <v>4101245</v>
      </c>
      <c r="AD22" s="38">
        <v>2353700</v>
      </c>
      <c r="AF22" s="159">
        <v>6454945</v>
      </c>
      <c r="AG22" s="23">
        <v>4213244</v>
      </c>
      <c r="AI22" s="2">
        <v>7772003</v>
      </c>
      <c r="AJ22" s="23">
        <f t="shared" si="6"/>
        <v>7772003</v>
      </c>
    </row>
    <row r="23" spans="1:36" ht="15">
      <c r="A23" s="5">
        <v>15</v>
      </c>
      <c r="B23" s="6" t="s">
        <v>35</v>
      </c>
      <c r="C23" s="85">
        <v>3</v>
      </c>
      <c r="D23" s="70">
        <f>AB23+AB24</f>
        <v>1619133</v>
      </c>
      <c r="E23" s="8"/>
      <c r="F23" s="8">
        <f t="shared" si="7"/>
        <v>1619133</v>
      </c>
      <c r="G23" s="207">
        <f t="shared" si="1"/>
        <v>2808177</v>
      </c>
      <c r="H23" s="30">
        <v>2808177</v>
      </c>
      <c r="I23" s="8">
        <f t="shared" si="9"/>
        <v>1064436</v>
      </c>
      <c r="J23" s="30">
        <v>1064436</v>
      </c>
      <c r="K23" s="84">
        <f t="shared" si="8"/>
        <v>2308267</v>
      </c>
      <c r="L23" s="8"/>
      <c r="M23" s="30">
        <v>2308267</v>
      </c>
      <c r="N23" s="8">
        <f t="shared" si="2"/>
        <v>315123</v>
      </c>
      <c r="O23" s="30">
        <v>315123</v>
      </c>
      <c r="P23" s="70"/>
      <c r="Q23" s="70"/>
      <c r="R23" s="70"/>
      <c r="S23" s="70">
        <f>T23</f>
        <v>934206</v>
      </c>
      <c r="T23" s="30">
        <v>934206</v>
      </c>
      <c r="U23" s="70"/>
      <c r="V23" s="8"/>
      <c r="W23" s="8"/>
      <c r="X23" s="8"/>
      <c r="Y23" s="35">
        <f t="shared" si="4"/>
        <v>7430209</v>
      </c>
      <c r="Z23" s="36">
        <f t="shared" si="0"/>
        <v>9049342</v>
      </c>
      <c r="AA23" s="142">
        <f>(D23)/Z23*100</f>
        <v>17.892273272465555</v>
      </c>
      <c r="AB23" s="46">
        <f t="shared" si="5"/>
        <v>908229</v>
      </c>
      <c r="AC23" s="38">
        <v>638369</v>
      </c>
      <c r="AD23" s="38">
        <v>269860</v>
      </c>
      <c r="AF23" s="159">
        <v>908229</v>
      </c>
      <c r="AG23" s="23">
        <v>383286</v>
      </c>
      <c r="AI23" s="2">
        <v>528185</v>
      </c>
      <c r="AJ23" s="23">
        <f t="shared" si="6"/>
        <v>-406021</v>
      </c>
    </row>
    <row r="24" spans="1:36" ht="14.25">
      <c r="A24" s="5">
        <v>16</v>
      </c>
      <c r="B24" s="6" t="s">
        <v>36</v>
      </c>
      <c r="C24" s="85"/>
      <c r="D24" s="70"/>
      <c r="E24" s="8"/>
      <c r="F24" s="8">
        <f>D24+E24</f>
        <v>0</v>
      </c>
      <c r="G24" s="10">
        <f t="shared" si="1"/>
        <v>0</v>
      </c>
      <c r="H24" s="30"/>
      <c r="I24" s="8">
        <f t="shared" si="9"/>
        <v>0</v>
      </c>
      <c r="J24" s="30"/>
      <c r="K24" s="8">
        <f t="shared" si="8"/>
        <v>0</v>
      </c>
      <c r="L24" s="8"/>
      <c r="N24" s="8">
        <f t="shared" si="2"/>
        <v>0</v>
      </c>
      <c r="O24" s="70"/>
      <c r="P24" s="70"/>
      <c r="Q24" s="70"/>
      <c r="R24" s="70"/>
      <c r="S24" s="70">
        <f t="shared" si="3"/>
        <v>0</v>
      </c>
      <c r="T24" s="70">
        <v>0</v>
      </c>
      <c r="U24" s="70"/>
      <c r="V24" s="8"/>
      <c r="W24" s="8"/>
      <c r="X24" s="8"/>
      <c r="Y24" s="35">
        <f t="shared" si="4"/>
        <v>0</v>
      </c>
      <c r="Z24" s="36">
        <f t="shared" si="0"/>
        <v>0</v>
      </c>
      <c r="AA24" s="142"/>
      <c r="AB24" s="46">
        <f t="shared" si="5"/>
        <v>710904</v>
      </c>
      <c r="AC24" s="38">
        <v>427564</v>
      </c>
      <c r="AD24" s="38">
        <v>283340</v>
      </c>
      <c r="AF24" s="100">
        <v>710904</v>
      </c>
      <c r="AG24" s="2">
        <v>474893</v>
      </c>
      <c r="AJ24" s="23">
        <f t="shared" si="6"/>
        <v>0</v>
      </c>
    </row>
    <row r="25" spans="1:36" ht="15">
      <c r="A25" s="5">
        <v>17</v>
      </c>
      <c r="B25" s="6" t="s">
        <v>37</v>
      </c>
      <c r="C25" s="85">
        <v>2</v>
      </c>
      <c r="D25" s="70">
        <f>AB25</f>
        <v>4456782</v>
      </c>
      <c r="E25" s="8"/>
      <c r="F25" s="8">
        <f t="shared" si="7"/>
        <v>4456782</v>
      </c>
      <c r="G25" s="207">
        <f t="shared" si="1"/>
        <v>7159241</v>
      </c>
      <c r="H25" s="30">
        <v>7159241</v>
      </c>
      <c r="I25" s="8">
        <f t="shared" si="9"/>
        <v>3163939</v>
      </c>
      <c r="J25" s="30">
        <v>3163939</v>
      </c>
      <c r="K25" s="8">
        <f t="shared" si="8"/>
        <v>2883004</v>
      </c>
      <c r="L25" s="8"/>
      <c r="M25" s="30">
        <v>2883004</v>
      </c>
      <c r="N25" s="8">
        <f t="shared" si="2"/>
        <v>1067884</v>
      </c>
      <c r="O25" s="30">
        <v>1067884</v>
      </c>
      <c r="P25" s="70"/>
      <c r="Q25" s="70"/>
      <c r="R25" s="70"/>
      <c r="S25" s="70">
        <f>T25+U25</f>
        <v>4008674</v>
      </c>
      <c r="T25" s="30">
        <v>4008674</v>
      </c>
      <c r="U25" s="70"/>
      <c r="V25" s="8"/>
      <c r="W25" s="8"/>
      <c r="X25" s="8"/>
      <c r="Y25" s="35">
        <f t="shared" si="4"/>
        <v>18282742</v>
      </c>
      <c r="Z25" s="36">
        <f t="shared" si="0"/>
        <v>22739524</v>
      </c>
      <c r="AA25" s="142">
        <f>(D25)/Z25*100</f>
        <v>19.59927569284212</v>
      </c>
      <c r="AB25" s="46">
        <f t="shared" si="5"/>
        <v>4456782</v>
      </c>
      <c r="AC25" s="38">
        <v>2650014</v>
      </c>
      <c r="AD25" s="38">
        <v>1806768</v>
      </c>
      <c r="AF25" s="159">
        <v>4456782</v>
      </c>
      <c r="AG25" s="2">
        <v>2083541</v>
      </c>
      <c r="AI25" s="2">
        <v>2854476</v>
      </c>
      <c r="AJ25" s="23">
        <f t="shared" si="6"/>
        <v>-1154198</v>
      </c>
    </row>
    <row r="26" spans="1:36" ht="15">
      <c r="A26" s="5">
        <v>18</v>
      </c>
      <c r="B26" s="6" t="s">
        <v>38</v>
      </c>
      <c r="C26" s="85">
        <v>4</v>
      </c>
      <c r="D26" s="70">
        <f>AB26</f>
        <v>4364839</v>
      </c>
      <c r="E26" s="8"/>
      <c r="F26" s="8">
        <f t="shared" si="7"/>
        <v>4364839</v>
      </c>
      <c r="G26" s="207">
        <f t="shared" si="1"/>
        <v>7034838</v>
      </c>
      <c r="H26" s="30">
        <v>7034838</v>
      </c>
      <c r="I26" s="84">
        <f t="shared" si="9"/>
        <v>4483340</v>
      </c>
      <c r="J26" s="30">
        <v>4483340</v>
      </c>
      <c r="K26" s="8">
        <f t="shared" si="8"/>
        <v>943240</v>
      </c>
      <c r="L26" s="30">
        <v>943240</v>
      </c>
      <c r="M26" s="8"/>
      <c r="N26" s="84">
        <f>R26</f>
        <v>5842432</v>
      </c>
      <c r="O26" s="70"/>
      <c r="P26" s="70"/>
      <c r="Q26" s="70"/>
      <c r="R26" s="30">
        <v>5842432</v>
      </c>
      <c r="S26" s="70">
        <f t="shared" si="3"/>
        <v>0</v>
      </c>
      <c r="T26" s="70">
        <v>0</v>
      </c>
      <c r="U26" s="70"/>
      <c r="V26" s="8"/>
      <c r="W26" s="8"/>
      <c r="X26" s="8"/>
      <c r="Y26" s="35">
        <f t="shared" si="4"/>
        <v>18303850</v>
      </c>
      <c r="Z26" s="36">
        <f t="shared" si="0"/>
        <v>22668689</v>
      </c>
      <c r="AA26" s="142">
        <f>(D26)/Z26*100</f>
        <v>19.25492471134965</v>
      </c>
      <c r="AB26" s="46">
        <f t="shared" si="5"/>
        <v>4364839</v>
      </c>
      <c r="AC26" s="38">
        <v>2652936</v>
      </c>
      <c r="AD26" s="38">
        <v>1711903</v>
      </c>
      <c r="AF26" s="159">
        <v>4364839</v>
      </c>
      <c r="AG26" s="2">
        <v>3411009</v>
      </c>
      <c r="AH26" s="23"/>
      <c r="AI26" s="2">
        <v>2974243</v>
      </c>
      <c r="AJ26" s="23">
        <f t="shared" si="6"/>
        <v>2974243</v>
      </c>
    </row>
    <row r="27" spans="1:36" ht="15">
      <c r="A27" s="5">
        <v>19</v>
      </c>
      <c r="B27" s="6" t="s">
        <v>39</v>
      </c>
      <c r="C27" s="85">
        <v>3</v>
      </c>
      <c r="D27" s="70">
        <f>AB27</f>
        <v>5785794</v>
      </c>
      <c r="E27" s="8"/>
      <c r="F27" s="8">
        <f t="shared" si="7"/>
        <v>5785794</v>
      </c>
      <c r="G27" s="207">
        <f t="shared" si="1"/>
        <v>14720751</v>
      </c>
      <c r="H27" s="30">
        <v>14720751</v>
      </c>
      <c r="I27" s="84">
        <f t="shared" si="9"/>
        <v>9198787</v>
      </c>
      <c r="J27" s="30">
        <v>9198787</v>
      </c>
      <c r="K27" s="8">
        <f t="shared" si="8"/>
        <v>3360486</v>
      </c>
      <c r="L27" s="30">
        <v>3360486</v>
      </c>
      <c r="M27" s="8"/>
      <c r="N27" s="8">
        <f t="shared" si="2"/>
        <v>5558442</v>
      </c>
      <c r="O27" s="70"/>
      <c r="P27" s="70"/>
      <c r="Q27" s="30">
        <v>5558442</v>
      </c>
      <c r="R27" s="70"/>
      <c r="S27" s="70">
        <f t="shared" si="3"/>
        <v>0</v>
      </c>
      <c r="T27" s="70">
        <v>0</v>
      </c>
      <c r="U27" s="70"/>
      <c r="V27" s="8"/>
      <c r="W27" s="8"/>
      <c r="X27" s="8"/>
      <c r="Y27" s="35">
        <f t="shared" si="4"/>
        <v>32838466</v>
      </c>
      <c r="Z27" s="36">
        <f t="shared" si="0"/>
        <v>38624260</v>
      </c>
      <c r="AA27" s="142">
        <f>(D27)/Z27*100</f>
        <v>14.979688931257195</v>
      </c>
      <c r="AB27" s="46">
        <f t="shared" si="5"/>
        <v>5785794</v>
      </c>
      <c r="AC27" s="38">
        <v>3978334</v>
      </c>
      <c r="AD27" s="38">
        <v>1807460</v>
      </c>
      <c r="AF27" s="159">
        <v>5785794</v>
      </c>
      <c r="AG27" s="2">
        <v>3593805</v>
      </c>
      <c r="AH27" s="23"/>
      <c r="AI27" s="2">
        <v>5678598</v>
      </c>
      <c r="AJ27" s="23">
        <f t="shared" si="6"/>
        <v>5678598</v>
      </c>
    </row>
    <row r="28" spans="1:36" ht="15">
      <c r="A28" s="5">
        <v>20</v>
      </c>
      <c r="B28" s="6" t="s">
        <v>40</v>
      </c>
      <c r="C28" s="85">
        <v>4</v>
      </c>
      <c r="D28" s="70">
        <f>AB28</f>
        <v>7964688</v>
      </c>
      <c r="E28" s="8"/>
      <c r="F28" s="8">
        <f t="shared" si="7"/>
        <v>7964688</v>
      </c>
      <c r="G28" s="207">
        <f t="shared" si="1"/>
        <v>9912262</v>
      </c>
      <c r="H28" s="30">
        <v>9912262</v>
      </c>
      <c r="I28" s="84">
        <f t="shared" si="9"/>
        <v>10278550</v>
      </c>
      <c r="J28" s="30">
        <v>10278550</v>
      </c>
      <c r="K28" s="84">
        <f t="shared" si="8"/>
        <v>17611411</v>
      </c>
      <c r="L28" s="30">
        <v>17611411</v>
      </c>
      <c r="M28" s="8"/>
      <c r="N28" s="8">
        <f t="shared" si="2"/>
        <v>2352639</v>
      </c>
      <c r="O28" s="30">
        <v>2352639</v>
      </c>
      <c r="P28" s="70"/>
      <c r="Q28" s="70"/>
      <c r="R28" s="70"/>
      <c r="S28" s="70">
        <f t="shared" si="3"/>
        <v>0</v>
      </c>
      <c r="T28" s="70">
        <v>0</v>
      </c>
      <c r="U28" s="70"/>
      <c r="V28" s="8"/>
      <c r="W28" s="8"/>
      <c r="X28" s="8"/>
      <c r="Y28" s="35">
        <f t="shared" si="4"/>
        <v>40154862</v>
      </c>
      <c r="Z28" s="36">
        <f t="shared" si="0"/>
        <v>48119550</v>
      </c>
      <c r="AA28" s="142">
        <f>(D28)/Z28*100</f>
        <v>16.551875485119876</v>
      </c>
      <c r="AB28" s="46">
        <f t="shared" si="5"/>
        <v>7964688</v>
      </c>
      <c r="AC28" s="38">
        <v>7087844</v>
      </c>
      <c r="AD28" s="38">
        <v>876844</v>
      </c>
      <c r="AF28" s="159">
        <v>7964688</v>
      </c>
      <c r="AG28" s="2">
        <v>4020802</v>
      </c>
      <c r="AI28" s="2">
        <v>5592238</v>
      </c>
      <c r="AJ28" s="23">
        <f t="shared" si="6"/>
        <v>5592238</v>
      </c>
    </row>
    <row r="29" spans="1:36" ht="14.25">
      <c r="A29" s="5">
        <v>21</v>
      </c>
      <c r="B29" s="6" t="s">
        <v>41</v>
      </c>
      <c r="C29" s="85"/>
      <c r="D29" s="70"/>
      <c r="E29" s="8"/>
      <c r="F29" s="8">
        <f t="shared" si="7"/>
        <v>0</v>
      </c>
      <c r="G29" s="10">
        <f t="shared" si="1"/>
        <v>0</v>
      </c>
      <c r="H29" s="30"/>
      <c r="I29" s="8">
        <f t="shared" si="9"/>
        <v>0</v>
      </c>
      <c r="J29" s="30"/>
      <c r="K29" s="8">
        <f t="shared" si="8"/>
        <v>0</v>
      </c>
      <c r="L29" s="8"/>
      <c r="M29" s="8"/>
      <c r="N29" s="8">
        <f t="shared" si="2"/>
        <v>0</v>
      </c>
      <c r="O29" s="70"/>
      <c r="P29" s="70"/>
      <c r="Q29" s="70"/>
      <c r="R29" s="70"/>
      <c r="S29" s="70">
        <f t="shared" si="3"/>
        <v>0</v>
      </c>
      <c r="T29" s="70">
        <v>0</v>
      </c>
      <c r="U29" s="70"/>
      <c r="V29" s="8"/>
      <c r="W29" s="8"/>
      <c r="X29" s="8"/>
      <c r="Y29" s="35">
        <f t="shared" si="4"/>
        <v>0</v>
      </c>
      <c r="Z29" s="36">
        <f t="shared" si="0"/>
        <v>0</v>
      </c>
      <c r="AA29" s="142"/>
      <c r="AB29" s="46">
        <f t="shared" si="5"/>
        <v>1254146</v>
      </c>
      <c r="AC29" s="38">
        <v>702679</v>
      </c>
      <c r="AD29" s="38">
        <v>551467</v>
      </c>
      <c r="AF29" s="100">
        <v>1254146</v>
      </c>
      <c r="AG29" s="2">
        <v>943333</v>
      </c>
      <c r="AJ29" s="23">
        <f t="shared" si="6"/>
        <v>0</v>
      </c>
    </row>
    <row r="30" spans="1:36" ht="15">
      <c r="A30" s="5">
        <v>22</v>
      </c>
      <c r="B30" s="6" t="s">
        <v>84</v>
      </c>
      <c r="C30" s="85">
        <v>3</v>
      </c>
      <c r="D30" s="70">
        <f>AB30</f>
        <v>10008618</v>
      </c>
      <c r="E30" s="8"/>
      <c r="F30" s="8">
        <f t="shared" si="7"/>
        <v>10008618</v>
      </c>
      <c r="G30" s="207">
        <f>H30</f>
        <v>15578792</v>
      </c>
      <c r="H30" s="30">
        <v>15578792</v>
      </c>
      <c r="I30" s="84">
        <f t="shared" si="9"/>
        <v>15290748</v>
      </c>
      <c r="J30" s="30">
        <v>15290748</v>
      </c>
      <c r="K30" s="8">
        <f t="shared" si="8"/>
        <v>4219738</v>
      </c>
      <c r="L30" s="30">
        <v>4219738</v>
      </c>
      <c r="M30" s="8"/>
      <c r="N30" s="8">
        <f t="shared" si="2"/>
        <v>7930109</v>
      </c>
      <c r="O30" s="70"/>
      <c r="P30" s="70"/>
      <c r="Q30" s="30">
        <v>7930109</v>
      </c>
      <c r="R30" s="70"/>
      <c r="S30" s="70">
        <f t="shared" si="3"/>
        <v>0</v>
      </c>
      <c r="T30" s="70">
        <v>0</v>
      </c>
      <c r="U30" s="70"/>
      <c r="V30" s="8">
        <v>7440256</v>
      </c>
      <c r="W30" s="8"/>
      <c r="X30" s="8"/>
      <c r="Y30" s="35">
        <f t="shared" si="4"/>
        <v>50459643</v>
      </c>
      <c r="Z30" s="36">
        <f t="shared" si="0"/>
        <v>60468261</v>
      </c>
      <c r="AA30" s="142">
        <f aca="true" t="shared" si="10" ref="AA30:AA37">(D30)/Z30*100</f>
        <v>16.551853541810967</v>
      </c>
      <c r="AB30" s="46">
        <f t="shared" si="5"/>
        <v>10008618</v>
      </c>
      <c r="AC30" s="38">
        <v>7147241</v>
      </c>
      <c r="AD30" s="38">
        <v>2861377</v>
      </c>
      <c r="AF30" s="159">
        <v>10008618</v>
      </c>
      <c r="AG30" s="2">
        <v>7180690</v>
      </c>
      <c r="AI30" s="2">
        <v>9442177</v>
      </c>
      <c r="AJ30" s="23">
        <f t="shared" si="6"/>
        <v>9442177</v>
      </c>
    </row>
    <row r="31" spans="1:36" ht="15">
      <c r="A31" s="5">
        <v>23</v>
      </c>
      <c r="B31" s="6" t="s">
        <v>85</v>
      </c>
      <c r="C31" s="85">
        <v>5</v>
      </c>
      <c r="D31" s="70">
        <f>AB31+AB29</f>
        <v>4663137</v>
      </c>
      <c r="E31" s="8"/>
      <c r="F31" s="8">
        <f t="shared" si="7"/>
        <v>4663137</v>
      </c>
      <c r="G31" s="207">
        <f t="shared" si="1"/>
        <v>6621579</v>
      </c>
      <c r="H31" s="30">
        <v>6621579</v>
      </c>
      <c r="I31" s="84">
        <f t="shared" si="9"/>
        <v>9604292</v>
      </c>
      <c r="J31" s="30">
        <v>9604292</v>
      </c>
      <c r="K31" s="8">
        <f t="shared" si="8"/>
        <v>109150</v>
      </c>
      <c r="L31" s="30">
        <v>109150</v>
      </c>
      <c r="M31" s="8"/>
      <c r="N31" s="84">
        <f t="shared" si="2"/>
        <v>10972813</v>
      </c>
      <c r="O31" s="70"/>
      <c r="P31" s="30">
        <v>10972813</v>
      </c>
      <c r="Q31" s="70"/>
      <c r="R31" s="70"/>
      <c r="S31" s="70">
        <f>T31+U31</f>
        <v>0</v>
      </c>
      <c r="T31" s="70">
        <v>0</v>
      </c>
      <c r="U31" s="70"/>
      <c r="V31" s="84">
        <v>5262422</v>
      </c>
      <c r="W31" s="8"/>
      <c r="X31" s="8"/>
      <c r="Y31" s="35">
        <f t="shared" si="4"/>
        <v>32570256</v>
      </c>
      <c r="Z31" s="36">
        <f t="shared" si="0"/>
        <v>37233393</v>
      </c>
      <c r="AA31" s="142">
        <f t="shared" si="10"/>
        <v>12.524072141370516</v>
      </c>
      <c r="AB31" s="46">
        <f t="shared" si="5"/>
        <v>3408991</v>
      </c>
      <c r="AC31" s="38">
        <v>2590166</v>
      </c>
      <c r="AD31" s="38">
        <v>818825</v>
      </c>
      <c r="AF31" s="159">
        <v>3408991</v>
      </c>
      <c r="AG31" s="23">
        <v>2032639</v>
      </c>
      <c r="AI31" s="2">
        <v>6699506</v>
      </c>
      <c r="AJ31" s="23">
        <f t="shared" si="6"/>
        <v>6699506</v>
      </c>
    </row>
    <row r="32" spans="1:36" ht="15">
      <c r="A32" s="5">
        <v>24</v>
      </c>
      <c r="B32" s="6" t="s">
        <v>44</v>
      </c>
      <c r="C32" s="85">
        <v>5</v>
      </c>
      <c r="D32" s="70">
        <f>AB32+AB9</f>
        <v>2930108</v>
      </c>
      <c r="E32" s="8"/>
      <c r="F32" s="8">
        <f t="shared" si="7"/>
        <v>2930108</v>
      </c>
      <c r="G32" s="207">
        <f t="shared" si="1"/>
        <v>9418336</v>
      </c>
      <c r="H32" s="30">
        <v>9418336</v>
      </c>
      <c r="I32" s="84">
        <f t="shared" si="9"/>
        <v>11836468</v>
      </c>
      <c r="J32" s="30">
        <v>11836468</v>
      </c>
      <c r="K32" s="84">
        <f t="shared" si="8"/>
        <v>3176579</v>
      </c>
      <c r="L32" s="8"/>
      <c r="M32" s="30">
        <v>3176579</v>
      </c>
      <c r="N32" s="8">
        <f t="shared" si="2"/>
        <v>2811705</v>
      </c>
      <c r="O32" s="30">
        <v>2811705</v>
      </c>
      <c r="P32" s="70"/>
      <c r="Q32" s="70"/>
      <c r="R32" s="70"/>
      <c r="S32" s="93">
        <f>T32+U32</f>
        <v>7382489</v>
      </c>
      <c r="T32" s="30">
        <v>7382489</v>
      </c>
      <c r="U32" s="70"/>
      <c r="V32" s="84"/>
      <c r="W32" s="8"/>
      <c r="X32" s="8"/>
      <c r="Y32" s="35">
        <f t="shared" si="4"/>
        <v>34625577</v>
      </c>
      <c r="Z32" s="36">
        <f t="shared" si="0"/>
        <v>37555685</v>
      </c>
      <c r="AA32" s="142">
        <f t="shared" si="10"/>
        <v>7.802035830261117</v>
      </c>
      <c r="AB32" s="46">
        <f t="shared" si="5"/>
        <v>2721015</v>
      </c>
      <c r="AC32" s="38">
        <v>1380936</v>
      </c>
      <c r="AD32" s="38">
        <v>1340079</v>
      </c>
      <c r="AF32" s="159">
        <v>2721015</v>
      </c>
      <c r="AG32" s="23">
        <v>2055457</v>
      </c>
      <c r="AI32" s="2">
        <v>5199733</v>
      </c>
      <c r="AJ32" s="23">
        <f t="shared" si="6"/>
        <v>-2182756</v>
      </c>
    </row>
    <row r="33" spans="1:36" ht="15">
      <c r="A33" s="5">
        <v>25</v>
      </c>
      <c r="B33" s="6" t="s">
        <v>45</v>
      </c>
      <c r="C33" s="85">
        <v>4</v>
      </c>
      <c r="D33" s="70">
        <f>AB33</f>
        <v>2272562</v>
      </c>
      <c r="E33" s="8"/>
      <c r="F33" s="8">
        <f t="shared" si="7"/>
        <v>2272562</v>
      </c>
      <c r="G33" s="207">
        <f t="shared" si="1"/>
        <v>3692150</v>
      </c>
      <c r="H33" s="30">
        <v>3692150</v>
      </c>
      <c r="I33" s="84">
        <f t="shared" si="9"/>
        <v>4334706</v>
      </c>
      <c r="J33" s="30">
        <v>4334706</v>
      </c>
      <c r="K33" s="8">
        <f t="shared" si="8"/>
        <v>1939653</v>
      </c>
      <c r="L33" s="30">
        <v>1939653</v>
      </c>
      <c r="M33" s="8"/>
      <c r="N33" s="8">
        <f t="shared" si="2"/>
        <v>1371401</v>
      </c>
      <c r="O33" s="30">
        <v>1371401</v>
      </c>
      <c r="P33" s="70"/>
      <c r="Q33" s="70"/>
      <c r="R33" s="70"/>
      <c r="S33" s="93">
        <f>T33+U33</f>
        <v>4297895</v>
      </c>
      <c r="T33" s="30">
        <v>4297895</v>
      </c>
      <c r="U33" s="70"/>
      <c r="V33" s="8"/>
      <c r="W33" s="8"/>
      <c r="X33" s="8"/>
      <c r="Y33" s="35">
        <f t="shared" si="4"/>
        <v>15635805</v>
      </c>
      <c r="Z33" s="36">
        <f t="shared" si="0"/>
        <v>17908367</v>
      </c>
      <c r="AA33" s="142">
        <f t="shared" si="10"/>
        <v>12.689945431652145</v>
      </c>
      <c r="AB33" s="46">
        <f t="shared" si="5"/>
        <v>2272562</v>
      </c>
      <c r="AC33" s="38">
        <v>2272562</v>
      </c>
      <c r="AD33" s="38">
        <v>0</v>
      </c>
      <c r="AF33" s="159">
        <v>2272562</v>
      </c>
      <c r="AG33" s="23">
        <v>1755860</v>
      </c>
      <c r="AI33" s="2">
        <v>3788404</v>
      </c>
      <c r="AJ33" s="23">
        <f t="shared" si="6"/>
        <v>-509491</v>
      </c>
    </row>
    <row r="34" spans="1:36" ht="15">
      <c r="A34" s="5">
        <v>26</v>
      </c>
      <c r="B34" s="6" t="s">
        <v>46</v>
      </c>
      <c r="C34" s="85">
        <v>4</v>
      </c>
      <c r="D34" s="70">
        <f>AB34</f>
        <v>1520393</v>
      </c>
      <c r="E34" s="8"/>
      <c r="F34" s="8">
        <f t="shared" si="7"/>
        <v>1520393</v>
      </c>
      <c r="G34" s="207">
        <f t="shared" si="1"/>
        <v>3740967</v>
      </c>
      <c r="H34" s="30">
        <v>3740967</v>
      </c>
      <c r="I34" s="84">
        <f t="shared" si="9"/>
        <v>2152605</v>
      </c>
      <c r="J34" s="30">
        <v>2152605</v>
      </c>
      <c r="K34" s="84">
        <f t="shared" si="8"/>
        <v>3975573</v>
      </c>
      <c r="L34" s="30">
        <v>3975573</v>
      </c>
      <c r="M34" s="8"/>
      <c r="N34" s="8">
        <f t="shared" si="2"/>
        <v>0</v>
      </c>
      <c r="O34" s="70"/>
      <c r="P34" s="70"/>
      <c r="Q34" s="70"/>
      <c r="R34" s="70"/>
      <c r="S34" s="70">
        <f t="shared" si="3"/>
        <v>0</v>
      </c>
      <c r="T34" s="70"/>
      <c r="U34" s="70"/>
      <c r="V34" s="8"/>
      <c r="W34" s="8"/>
      <c r="X34" s="8"/>
      <c r="Y34" s="35">
        <f t="shared" si="4"/>
        <v>9869145</v>
      </c>
      <c r="Z34" s="36">
        <f t="shared" si="0"/>
        <v>11389538</v>
      </c>
      <c r="AA34" s="142">
        <f t="shared" si="10"/>
        <v>13.349031365451347</v>
      </c>
      <c r="AB34" s="46">
        <f t="shared" si="5"/>
        <v>1520393</v>
      </c>
      <c r="AC34" s="38">
        <v>1476938</v>
      </c>
      <c r="AD34" s="38">
        <v>43455</v>
      </c>
      <c r="AF34" s="159">
        <v>1520393</v>
      </c>
      <c r="AG34" s="2">
        <v>1189158</v>
      </c>
      <c r="AI34" s="2">
        <v>1159847</v>
      </c>
      <c r="AJ34" s="23">
        <f t="shared" si="6"/>
        <v>1159847</v>
      </c>
    </row>
    <row r="35" spans="1:36" ht="15">
      <c r="A35" s="5"/>
      <c r="B35" s="7" t="s">
        <v>47</v>
      </c>
      <c r="C35" s="5">
        <v>4</v>
      </c>
      <c r="D35" s="70">
        <f aca="true" t="shared" si="11" ref="D35:Z35">SUM(D9:D34)</f>
        <v>95412549</v>
      </c>
      <c r="E35" s="8">
        <f t="shared" si="11"/>
        <v>0</v>
      </c>
      <c r="F35" s="8">
        <f t="shared" si="11"/>
        <v>95412549</v>
      </c>
      <c r="G35" s="84">
        <f t="shared" si="11"/>
        <v>177635775</v>
      </c>
      <c r="H35" s="8">
        <f>SUM(H9:H34)</f>
        <v>177635775</v>
      </c>
      <c r="I35" s="84">
        <f>SUM(I9:I34)</f>
        <v>139905213</v>
      </c>
      <c r="J35" s="94">
        <f t="shared" si="11"/>
        <v>139905213</v>
      </c>
      <c r="K35" s="8">
        <f t="shared" si="11"/>
        <v>56453100</v>
      </c>
      <c r="L35" s="8">
        <f t="shared" si="11"/>
        <v>37191788</v>
      </c>
      <c r="M35" s="8">
        <f>SUM(M9:M34)</f>
        <v>19261312</v>
      </c>
      <c r="N35" s="84">
        <f t="shared" si="11"/>
        <v>116923993</v>
      </c>
      <c r="O35" s="70">
        <f t="shared" si="11"/>
        <v>67776748</v>
      </c>
      <c r="P35" s="70">
        <f t="shared" si="11"/>
        <v>22981041</v>
      </c>
      <c r="Q35" s="70">
        <f t="shared" si="11"/>
        <v>13980817</v>
      </c>
      <c r="R35" s="70">
        <f>SUM(R9:R34)</f>
        <v>12185387</v>
      </c>
      <c r="S35" s="70">
        <f t="shared" si="11"/>
        <v>35317457</v>
      </c>
      <c r="T35" s="70">
        <f t="shared" si="11"/>
        <v>35317457</v>
      </c>
      <c r="U35" s="70">
        <f>SUM(U9:U34)</f>
        <v>0</v>
      </c>
      <c r="V35" s="8">
        <f t="shared" si="11"/>
        <v>32295872</v>
      </c>
      <c r="W35" s="8">
        <v>2285177</v>
      </c>
      <c r="X35" s="8"/>
      <c r="Y35" s="8">
        <f t="shared" si="11"/>
        <v>560949403</v>
      </c>
      <c r="Z35" s="8">
        <f t="shared" si="11"/>
        <v>656361952</v>
      </c>
      <c r="AA35" s="142">
        <f t="shared" si="10"/>
        <v>14.53657524011995</v>
      </c>
      <c r="AB35" s="8">
        <f aca="true" t="shared" si="12" ref="AB35:AG35">SUM(AB9:AB34)</f>
        <v>95412549</v>
      </c>
      <c r="AC35" s="317">
        <f t="shared" si="12"/>
        <v>63663741</v>
      </c>
      <c r="AD35" s="8">
        <f t="shared" si="12"/>
        <v>31748808</v>
      </c>
      <c r="AE35" s="8">
        <f t="shared" si="12"/>
        <v>0</v>
      </c>
      <c r="AF35" s="8">
        <f t="shared" si="12"/>
        <v>95412549</v>
      </c>
      <c r="AG35" s="32">
        <f t="shared" si="12"/>
        <v>59376593</v>
      </c>
      <c r="AJ35" s="23"/>
    </row>
    <row r="36" spans="1:36" ht="14.25">
      <c r="A36" s="4">
        <v>27</v>
      </c>
      <c r="B36" s="3" t="s">
        <v>48</v>
      </c>
      <c r="C36" s="4"/>
      <c r="D36" s="70"/>
      <c r="E36" s="70">
        <v>2518770</v>
      </c>
      <c r="F36" s="8">
        <f t="shared" si="7"/>
        <v>2518770</v>
      </c>
      <c r="G36" s="10">
        <f t="shared" si="1"/>
        <v>9407812</v>
      </c>
      <c r="H36" s="30">
        <v>9407812</v>
      </c>
      <c r="I36" s="8">
        <f t="shared" si="9"/>
        <v>8561135</v>
      </c>
      <c r="J36" s="30">
        <v>8561135</v>
      </c>
      <c r="K36" s="8">
        <f t="shared" si="8"/>
        <v>2956149</v>
      </c>
      <c r="L36" s="30">
        <v>2956149</v>
      </c>
      <c r="M36" s="8"/>
      <c r="N36" s="8">
        <f>O36+P36+Q36</f>
        <v>4944716</v>
      </c>
      <c r="O36" s="30">
        <v>4944716</v>
      </c>
      <c r="P36" s="70"/>
      <c r="Q36" s="70"/>
      <c r="R36" s="70"/>
      <c r="S36" s="70">
        <f t="shared" si="3"/>
        <v>0</v>
      </c>
      <c r="T36" s="70"/>
      <c r="U36" s="70"/>
      <c r="V36" s="8"/>
      <c r="W36" s="8"/>
      <c r="X36" s="8"/>
      <c r="Y36" s="35">
        <f t="shared" si="4"/>
        <v>25869812</v>
      </c>
      <c r="Z36" s="36">
        <f>Y36+F36</f>
        <v>28388582</v>
      </c>
      <c r="AA36" s="142">
        <f t="shared" si="10"/>
        <v>0</v>
      </c>
      <c r="AE36" s="23">
        <f>E36</f>
        <v>2518770</v>
      </c>
      <c r="AF36" s="159">
        <f>AE36+Y36</f>
        <v>28388582</v>
      </c>
      <c r="AI36" s="2">
        <v>6475228</v>
      </c>
      <c r="AJ36" s="23">
        <f>AI36-S36</f>
        <v>6475228</v>
      </c>
    </row>
    <row r="37" spans="1:36" ht="14.25">
      <c r="A37" s="4">
        <v>28</v>
      </c>
      <c r="B37" s="3" t="s">
        <v>49</v>
      </c>
      <c r="C37" s="4"/>
      <c r="D37" s="70"/>
      <c r="E37" s="70">
        <v>1816276</v>
      </c>
      <c r="F37" s="8">
        <f t="shared" si="7"/>
        <v>1816276</v>
      </c>
      <c r="G37" s="10">
        <f t="shared" si="1"/>
        <v>3868834</v>
      </c>
      <c r="H37" s="30">
        <v>3868834</v>
      </c>
      <c r="I37" s="8">
        <f t="shared" si="9"/>
        <v>6567520</v>
      </c>
      <c r="J37" s="30">
        <v>6567520</v>
      </c>
      <c r="K37" s="8">
        <f t="shared" si="8"/>
        <v>1560725</v>
      </c>
      <c r="L37" s="30">
        <v>1560725</v>
      </c>
      <c r="M37" s="8"/>
      <c r="N37" s="8">
        <f>O37+P37+Q37</f>
        <v>3099398</v>
      </c>
      <c r="O37" s="30">
        <v>3099398</v>
      </c>
      <c r="P37" s="70"/>
      <c r="Q37" s="70"/>
      <c r="R37" s="70"/>
      <c r="S37" s="70">
        <f t="shared" si="3"/>
        <v>0</v>
      </c>
      <c r="T37" s="70"/>
      <c r="U37" s="70"/>
      <c r="V37" s="70"/>
      <c r="W37" s="70"/>
      <c r="X37" s="70">
        <v>2868751</v>
      </c>
      <c r="Y37" s="35">
        <f t="shared" si="4"/>
        <v>17965228</v>
      </c>
      <c r="Z37" s="36">
        <f>Y37+F37</f>
        <v>19781504</v>
      </c>
      <c r="AA37" s="142">
        <f t="shared" si="10"/>
        <v>0</v>
      </c>
      <c r="AC37" s="158"/>
      <c r="AD37" s="158"/>
      <c r="AE37" s="23">
        <f>E37</f>
        <v>1816276</v>
      </c>
      <c r="AF37" s="159">
        <f>AE37+Y37</f>
        <v>19781504</v>
      </c>
      <c r="AG37" s="23"/>
      <c r="AI37" s="23">
        <v>6369439</v>
      </c>
      <c r="AJ37" s="23">
        <f>AI37-S37</f>
        <v>6369439</v>
      </c>
    </row>
    <row r="38" spans="1:35" ht="14.25">
      <c r="A38" s="4"/>
      <c r="B38" s="3" t="s">
        <v>50</v>
      </c>
      <c r="C38" s="4">
        <v>4</v>
      </c>
      <c r="D38" s="70">
        <f aca="true" t="shared" si="13" ref="D38:W38">SUM(D35:D37)</f>
        <v>95412549</v>
      </c>
      <c r="E38" s="70">
        <f t="shared" si="13"/>
        <v>4335046</v>
      </c>
      <c r="F38" s="8">
        <f t="shared" si="13"/>
        <v>99747595</v>
      </c>
      <c r="G38" s="70">
        <f>SUM(G35:G37)</f>
        <v>190912421</v>
      </c>
      <c r="H38" s="70">
        <f>SUM(H35:H37)</f>
        <v>190912421</v>
      </c>
      <c r="I38" s="70">
        <f>SUM(I35:I37)</f>
        <v>155033868</v>
      </c>
      <c r="J38" s="70">
        <f t="shared" si="13"/>
        <v>155033868</v>
      </c>
      <c r="K38" s="8">
        <f t="shared" si="8"/>
        <v>60969974</v>
      </c>
      <c r="L38" s="70">
        <f t="shared" si="13"/>
        <v>41708662</v>
      </c>
      <c r="M38" s="70">
        <f>SUM(M35:M37)</f>
        <v>19261312</v>
      </c>
      <c r="N38" s="70">
        <f t="shared" si="13"/>
        <v>124968107</v>
      </c>
      <c r="O38" s="70">
        <f t="shared" si="13"/>
        <v>75820862</v>
      </c>
      <c r="P38" s="70">
        <f t="shared" si="13"/>
        <v>22981041</v>
      </c>
      <c r="Q38" s="70">
        <f t="shared" si="13"/>
        <v>13980817</v>
      </c>
      <c r="R38" s="70">
        <f>SUM(R35:R37)</f>
        <v>12185387</v>
      </c>
      <c r="S38" s="70">
        <f t="shared" si="13"/>
        <v>35317457</v>
      </c>
      <c r="T38" s="70">
        <f t="shared" si="13"/>
        <v>35317457</v>
      </c>
      <c r="U38" s="70">
        <f>SUM(U35:U37)</f>
        <v>0</v>
      </c>
      <c r="V38" s="70">
        <f t="shared" si="13"/>
        <v>32295872</v>
      </c>
      <c r="W38" s="70">
        <f t="shared" si="13"/>
        <v>2285177</v>
      </c>
      <c r="X38" s="70">
        <f>SUM(X35:X37)</f>
        <v>2868751</v>
      </c>
      <c r="Y38" s="8">
        <f>SUM(Y35:Y37)</f>
        <v>604784443</v>
      </c>
      <c r="Z38" s="8">
        <f>SUM(Z35:Z37)</f>
        <v>704532038</v>
      </c>
      <c r="AA38" s="142">
        <f>(D38)/Z38*100</f>
        <v>13.54268420082835</v>
      </c>
      <c r="AB38" s="23"/>
      <c r="AC38" s="23"/>
      <c r="AE38" s="8">
        <f>SUM(AE35:AE37)</f>
        <v>4335046</v>
      </c>
      <c r="AF38" s="8">
        <f>SUM(AF35:AF37)</f>
        <v>143582635</v>
      </c>
      <c r="AG38" s="23"/>
      <c r="AI38" s="2">
        <f>SUM(AI10:AI37)</f>
        <v>110806333</v>
      </c>
    </row>
    <row r="39" spans="1:35" ht="15">
      <c r="A39" s="107" t="s">
        <v>51</v>
      </c>
      <c r="B39" s="108"/>
      <c r="C39" s="108"/>
      <c r="D39" s="139">
        <f>D38/Z38*100</f>
        <v>13.54268420082835</v>
      </c>
      <c r="E39" s="139">
        <f>E38/Z38*100</f>
        <v>0.6153085688347363</v>
      </c>
      <c r="F39" s="145">
        <f>F38/Z38*100</f>
        <v>14.157992769663089</v>
      </c>
      <c r="G39" s="139">
        <f>G38/Z38*100</f>
        <v>27.097762869940627</v>
      </c>
      <c r="H39" s="139">
        <f>H38/Z38</f>
        <v>0.2709776286994063</v>
      </c>
      <c r="I39" s="139">
        <f>I38/Z38*100</f>
        <v>22.00522611293938</v>
      </c>
      <c r="J39" s="139">
        <f>J38/Z38*100</f>
        <v>22.00522611293938</v>
      </c>
      <c r="K39" s="139">
        <f>K38/Z38*100</f>
        <v>8.653967557398717</v>
      </c>
      <c r="L39" s="139">
        <f>L38/Z38*100</f>
        <v>5.9200518571733145</v>
      </c>
      <c r="M39" s="139">
        <f>M38/Z38*100</f>
        <v>2.7339157002254026</v>
      </c>
      <c r="N39" s="139">
        <f>N38/Z38*100</f>
        <v>17.73774651252978</v>
      </c>
      <c r="O39" s="139">
        <f>O38/Z38</f>
        <v>0.10761875672146509</v>
      </c>
      <c r="P39" s="139">
        <f>P38/Z38</f>
        <v>0.03261887289787097</v>
      </c>
      <c r="Q39" s="139">
        <f>Q38/Z38</f>
        <v>0.019844118146405715</v>
      </c>
      <c r="R39" s="139">
        <f>R38/Z38*100</f>
        <v>1.7295717359556046</v>
      </c>
      <c r="S39" s="139">
        <f>S38/Z38*100</f>
        <v>5.01289580815344</v>
      </c>
      <c r="T39" s="139"/>
      <c r="U39" s="139">
        <f>U38/Z38</f>
        <v>0</v>
      </c>
      <c r="V39" s="139">
        <f>V38/Z38*100</f>
        <v>4.584017512060963</v>
      </c>
      <c r="W39" s="139">
        <f>W38/Z38*100</f>
        <v>0.3243538798444252</v>
      </c>
      <c r="X39" s="139">
        <f>X38/Z38*100</f>
        <v>0.40718531525460594</v>
      </c>
      <c r="Y39" s="139">
        <f>Y38/Z38*100</f>
        <v>85.84200723033692</v>
      </c>
      <c r="Z39" s="139">
        <f>Z38/Z38*100</f>
        <v>100</v>
      </c>
      <c r="AA39" s="139"/>
      <c r="AB39" s="23"/>
      <c r="AC39" s="23"/>
      <c r="AF39" s="2">
        <v>257845498</v>
      </c>
      <c r="AI39" s="23"/>
    </row>
    <row r="40" spans="1:27" ht="27.75" customHeight="1" hidden="1">
      <c r="A40" s="112"/>
      <c r="B40" s="115" t="s">
        <v>108</v>
      </c>
      <c r="C40" s="116"/>
      <c r="D40" s="113">
        <f>D35/Z35</f>
        <v>0.1453657524011995</v>
      </c>
      <c r="E40" s="113">
        <f>E35/Z35</f>
        <v>0</v>
      </c>
      <c r="F40" s="113">
        <f>F35/Z35</f>
        <v>0.1453657524011995</v>
      </c>
      <c r="G40" s="113">
        <f>G35/Z35</f>
        <v>0.27063691680897434</v>
      </c>
      <c r="H40" s="113">
        <f>H35/Z35</f>
        <v>0.27063691680897434</v>
      </c>
      <c r="I40" s="113">
        <f>I35/Z35</f>
        <v>0.2131525335581914</v>
      </c>
      <c r="J40" s="113">
        <f>J35/Z35</f>
        <v>0.2131525335581914</v>
      </c>
      <c r="K40" s="113">
        <f>K35/Z35</f>
        <v>0.08600909883332176</v>
      </c>
      <c r="L40" s="113">
        <f>L35/Z35</f>
        <v>0.05666353432991192</v>
      </c>
      <c r="M40" s="113"/>
      <c r="N40" s="113">
        <f>N35/Z35</f>
        <v>0.17813950464941028</v>
      </c>
      <c r="O40" s="113">
        <f>O35/Z35</f>
        <v>0.10326123839670706</v>
      </c>
      <c r="P40" s="113">
        <f>P35/Z35</f>
        <v>0.03501275619339983</v>
      </c>
      <c r="Q40" s="113">
        <f>Q35/Z35</f>
        <v>0.021300468373279504</v>
      </c>
      <c r="R40" s="113">
        <f>R35/Z35</f>
        <v>0.018565041686023874</v>
      </c>
      <c r="S40" s="113"/>
      <c r="T40" s="113">
        <f>T35/Z35</f>
        <v>0.05380789805439545</v>
      </c>
      <c r="U40" s="113"/>
      <c r="V40" s="113"/>
      <c r="W40" s="113"/>
      <c r="X40" s="113" t="e">
        <f>X35/AE35</f>
        <v>#DIV/0!</v>
      </c>
      <c r="Y40" s="113">
        <f>Y35/Z35</f>
        <v>0.8546342475988005</v>
      </c>
      <c r="Z40" s="113">
        <f>Z35/Z35</f>
        <v>1</v>
      </c>
      <c r="AA40" s="143"/>
    </row>
    <row r="41" spans="1:32" ht="14.25">
      <c r="A41" s="101"/>
      <c r="B41" s="117"/>
      <c r="C41" s="11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40"/>
      <c r="AC41" s="23"/>
      <c r="AF41" s="23">
        <f>AF39-AF38</f>
        <v>114262863</v>
      </c>
    </row>
    <row r="42" spans="1:31" ht="14.25">
      <c r="A42" s="107" t="str">
        <f>'Anne-5'!A42</f>
        <v>Conn. As on 31.05.2013</v>
      </c>
      <c r="B42" s="108"/>
      <c r="C42" s="118">
        <v>4</v>
      </c>
      <c r="D42" s="8">
        <v>95472430</v>
      </c>
      <c r="E42" s="8">
        <v>4622924</v>
      </c>
      <c r="F42" s="8">
        <v>100095354</v>
      </c>
      <c r="G42" s="8">
        <v>189649322</v>
      </c>
      <c r="H42" s="8">
        <v>189649322</v>
      </c>
      <c r="I42" s="8">
        <v>154686843</v>
      </c>
      <c r="J42" s="8">
        <v>154686843</v>
      </c>
      <c r="K42" s="8">
        <v>60358016</v>
      </c>
      <c r="L42" s="8">
        <v>41407759</v>
      </c>
      <c r="M42" s="8">
        <v>18950257</v>
      </c>
      <c r="N42" s="8">
        <v>123758712</v>
      </c>
      <c r="O42" s="8">
        <v>75081973</v>
      </c>
      <c r="P42" s="8">
        <v>22817531</v>
      </c>
      <c r="Q42" s="8">
        <v>13862881</v>
      </c>
      <c r="R42" s="8">
        <v>11996327</v>
      </c>
      <c r="S42" s="8">
        <v>35038216</v>
      </c>
      <c r="T42" s="8">
        <v>35038216</v>
      </c>
      <c r="U42" s="8">
        <v>0</v>
      </c>
      <c r="V42" s="8">
        <v>31999931</v>
      </c>
      <c r="W42" s="8">
        <v>2285177</v>
      </c>
      <c r="X42" s="8">
        <v>2925089</v>
      </c>
      <c r="Y42" s="35">
        <v>600701306</v>
      </c>
      <c r="Z42" s="36">
        <v>700796660</v>
      </c>
      <c r="AA42" s="142">
        <f>(D42)/Z42*100</f>
        <v>13.623413958622463</v>
      </c>
      <c r="AC42" s="313"/>
      <c r="AE42" s="23"/>
    </row>
    <row r="43" spans="1:29" ht="14.25">
      <c r="A43" s="107" t="str">
        <f>'Anne-5'!A43</f>
        <v>Addition during Jun 2013</v>
      </c>
      <c r="B43" s="108"/>
      <c r="C43" s="118">
        <v>10</v>
      </c>
      <c r="D43" s="8">
        <f aca="true" t="shared" si="14" ref="D43:W43">D38-D42</f>
        <v>-59881</v>
      </c>
      <c r="E43" s="8">
        <f t="shared" si="14"/>
        <v>-287878</v>
      </c>
      <c r="F43" s="8">
        <f t="shared" si="14"/>
        <v>-347759</v>
      </c>
      <c r="G43" s="8">
        <f t="shared" si="14"/>
        <v>1263099</v>
      </c>
      <c r="H43" s="8">
        <f t="shared" si="14"/>
        <v>1263099</v>
      </c>
      <c r="I43" s="8">
        <f t="shared" si="14"/>
        <v>347025</v>
      </c>
      <c r="J43" s="8">
        <f t="shared" si="14"/>
        <v>347025</v>
      </c>
      <c r="K43" s="8">
        <f t="shared" si="14"/>
        <v>611958</v>
      </c>
      <c r="L43" s="8">
        <f t="shared" si="14"/>
        <v>300903</v>
      </c>
      <c r="M43" s="8">
        <f t="shared" si="14"/>
        <v>311055</v>
      </c>
      <c r="N43" s="8">
        <f t="shared" si="14"/>
        <v>1209395</v>
      </c>
      <c r="O43" s="8">
        <f t="shared" si="14"/>
        <v>738889</v>
      </c>
      <c r="P43" s="8">
        <f t="shared" si="14"/>
        <v>163510</v>
      </c>
      <c r="Q43" s="8">
        <f t="shared" si="14"/>
        <v>117936</v>
      </c>
      <c r="R43" s="8">
        <f>R38-R42</f>
        <v>189060</v>
      </c>
      <c r="S43" s="8">
        <f t="shared" si="14"/>
        <v>279241</v>
      </c>
      <c r="T43" s="8">
        <f t="shared" si="14"/>
        <v>279241</v>
      </c>
      <c r="U43" s="8">
        <f t="shared" si="14"/>
        <v>0</v>
      </c>
      <c r="V43" s="8">
        <f t="shared" si="14"/>
        <v>295941</v>
      </c>
      <c r="W43" s="8">
        <f t="shared" si="14"/>
        <v>0</v>
      </c>
      <c r="X43" s="8">
        <f>X38-X42</f>
        <v>-56338</v>
      </c>
      <c r="Y43" s="8">
        <f>Y38-Y42</f>
        <v>4083137</v>
      </c>
      <c r="Z43" s="8">
        <f>Z38-Z42</f>
        <v>3735378</v>
      </c>
      <c r="AA43" s="420" t="s">
        <v>130</v>
      </c>
      <c r="AB43" s="23"/>
      <c r="AC43" s="23"/>
    </row>
    <row r="44" spans="1:30" ht="14.25">
      <c r="A44" s="107" t="str">
        <f>'Anne-5'!A44</f>
        <v>Conn. As on 31.03.2013</v>
      </c>
      <c r="B44" s="110"/>
      <c r="C44" s="4">
        <v>4</v>
      </c>
      <c r="D44" s="8">
        <v>98504812</v>
      </c>
      <c r="E44" s="8">
        <v>4819942</v>
      </c>
      <c r="F44" s="8">
        <v>103324754</v>
      </c>
      <c r="G44" s="8">
        <v>188196071</v>
      </c>
      <c r="H44" s="8">
        <v>188196071</v>
      </c>
      <c r="I44" s="8">
        <v>152353654</v>
      </c>
      <c r="J44" s="8">
        <v>152353654</v>
      </c>
      <c r="K44" s="8">
        <v>60071967</v>
      </c>
      <c r="L44" s="8">
        <v>40991603</v>
      </c>
      <c r="M44" s="8">
        <v>19080364</v>
      </c>
      <c r="N44" s="8">
        <v>121607390</v>
      </c>
      <c r="O44" s="8">
        <v>74045293</v>
      </c>
      <c r="P44" s="8">
        <v>22496430</v>
      </c>
      <c r="Q44" s="8">
        <v>13028259</v>
      </c>
      <c r="R44" s="8">
        <v>12037408</v>
      </c>
      <c r="S44" s="8">
        <v>34657017</v>
      </c>
      <c r="T44" s="8">
        <v>34657017</v>
      </c>
      <c r="U44" s="8">
        <v>0</v>
      </c>
      <c r="V44" s="8">
        <v>31683600</v>
      </c>
      <c r="W44" s="8">
        <v>2009474</v>
      </c>
      <c r="X44" s="8">
        <v>2987976</v>
      </c>
      <c r="Y44" s="8">
        <v>593567149</v>
      </c>
      <c r="Z44" s="8">
        <v>696891903</v>
      </c>
      <c r="AA44" s="144">
        <f>(D44)/Z44*100</f>
        <v>14.134876811734173</v>
      </c>
      <c r="AD44" s="23"/>
    </row>
    <row r="45" spans="1:30" ht="14.25">
      <c r="A45" s="107" t="str">
        <f>'Anne-5'!A45</f>
        <v>Addition during 2013-14</v>
      </c>
      <c r="B45" s="108"/>
      <c r="C45" s="4">
        <v>10</v>
      </c>
      <c r="D45" s="8">
        <f>D38-D44</f>
        <v>-3092263</v>
      </c>
      <c r="E45" s="8">
        <f aca="true" t="shared" si="15" ref="E45:Z45">E38-E44</f>
        <v>-484896</v>
      </c>
      <c r="F45" s="8">
        <f t="shared" si="15"/>
        <v>-3577159</v>
      </c>
      <c r="G45" s="8">
        <f t="shared" si="15"/>
        <v>2716350</v>
      </c>
      <c r="H45" s="8">
        <f t="shared" si="15"/>
        <v>2716350</v>
      </c>
      <c r="I45" s="8">
        <f t="shared" si="15"/>
        <v>2680214</v>
      </c>
      <c r="J45" s="8">
        <f t="shared" si="15"/>
        <v>2680214</v>
      </c>
      <c r="K45" s="8">
        <f t="shared" si="15"/>
        <v>898007</v>
      </c>
      <c r="L45" s="8">
        <f t="shared" si="15"/>
        <v>717059</v>
      </c>
      <c r="M45" s="8">
        <f t="shared" si="15"/>
        <v>180948</v>
      </c>
      <c r="N45" s="8">
        <f t="shared" si="15"/>
        <v>3360717</v>
      </c>
      <c r="O45" s="8">
        <f t="shared" si="15"/>
        <v>1775569</v>
      </c>
      <c r="P45" s="8">
        <f t="shared" si="15"/>
        <v>484611</v>
      </c>
      <c r="Q45" s="8">
        <f t="shared" si="15"/>
        <v>952558</v>
      </c>
      <c r="R45" s="8">
        <f>R38-R44</f>
        <v>147979</v>
      </c>
      <c r="S45" s="8">
        <f t="shared" si="15"/>
        <v>660440</v>
      </c>
      <c r="T45" s="8">
        <f t="shared" si="15"/>
        <v>660440</v>
      </c>
      <c r="U45" s="8">
        <f t="shared" si="15"/>
        <v>0</v>
      </c>
      <c r="V45" s="8">
        <f t="shared" si="15"/>
        <v>612272</v>
      </c>
      <c r="W45" s="8">
        <f t="shared" si="15"/>
        <v>275703</v>
      </c>
      <c r="X45" s="8">
        <f>X38-X44</f>
        <v>-119225</v>
      </c>
      <c r="Y45" s="8">
        <f t="shared" si="15"/>
        <v>11217294</v>
      </c>
      <c r="Z45" s="8">
        <f t="shared" si="15"/>
        <v>7640135</v>
      </c>
      <c r="AA45" s="420" t="s">
        <v>130</v>
      </c>
      <c r="AB45" s="23"/>
      <c r="AC45" s="23"/>
      <c r="AD45" s="23"/>
    </row>
    <row r="46" spans="2:30" ht="15">
      <c r="B46" s="26"/>
      <c r="C46" s="26"/>
      <c r="T46" s="23"/>
      <c r="U46" s="23"/>
      <c r="Z46" s="23"/>
      <c r="AA46" s="23"/>
      <c r="AC46" s="23"/>
      <c r="AD46" s="23"/>
    </row>
    <row r="47" spans="2:30" ht="15">
      <c r="B47" s="26"/>
      <c r="C47" s="26"/>
      <c r="N47" s="23"/>
      <c r="T47" s="23"/>
      <c r="U47" s="23"/>
      <c r="Z47" s="23"/>
      <c r="AA47" s="23"/>
      <c r="AD47" s="23"/>
    </row>
    <row r="48" spans="2:26" ht="15">
      <c r="B48" s="26"/>
      <c r="C48" s="26"/>
      <c r="D48" s="23"/>
      <c r="E48" s="2">
        <v>2600330</v>
      </c>
      <c r="N48" s="23"/>
      <c r="S48" s="136"/>
      <c r="Z48" s="23"/>
    </row>
    <row r="49" spans="2:29" ht="15">
      <c r="B49" s="26"/>
      <c r="C49" s="26"/>
      <c r="D49" s="23"/>
      <c r="E49" s="2">
        <v>2200554</v>
      </c>
      <c r="S49" s="23"/>
      <c r="T49" s="23"/>
      <c r="Y49" s="23"/>
      <c r="Z49" s="2">
        <v>97172146</v>
      </c>
      <c r="AC49" s="23"/>
    </row>
    <row r="50" spans="2:26" ht="15">
      <c r="B50" s="26"/>
      <c r="C50" s="26"/>
      <c r="E50" s="23">
        <f>E48-E36</f>
        <v>81560</v>
      </c>
      <c r="Z50" s="23">
        <f>Z38-S38-D42+Z49</f>
        <v>670914297</v>
      </c>
    </row>
    <row r="51" spans="5:29" ht="14.25">
      <c r="E51" s="23">
        <f>E49-E37</f>
        <v>384278</v>
      </c>
      <c r="F51" s="23"/>
      <c r="T51" s="23"/>
      <c r="Z51" s="23"/>
      <c r="AC51" s="2">
        <v>606419943</v>
      </c>
    </row>
    <row r="52" spans="25:29" ht="14.25">
      <c r="Y52" s="23"/>
      <c r="AC52" s="23">
        <v>28798181</v>
      </c>
    </row>
    <row r="53" spans="29:30" ht="14.25">
      <c r="AC53" s="23">
        <f>SUM(AC51:AC52)</f>
        <v>635218124</v>
      </c>
      <c r="AD53" s="2">
        <v>90234162</v>
      </c>
    </row>
    <row r="54" ht="14.25">
      <c r="AC54" s="23">
        <f>AC53-AD53+D38</f>
        <v>640396511</v>
      </c>
    </row>
  </sheetData>
  <sheetProtection/>
  <mergeCells count="22">
    <mergeCell ref="N7:N8"/>
    <mergeCell ref="U7:U8"/>
    <mergeCell ref="V7:V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X7:X8"/>
    <mergeCell ref="W7:W8"/>
    <mergeCell ref="AB6:AD7"/>
    <mergeCell ref="Z6:Z8"/>
    <mergeCell ref="Y6:Y8"/>
    <mergeCell ref="AA6:AA8"/>
  </mergeCells>
  <conditionalFormatting sqref="AA10:AA38 AA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A10:AA12 AA14:AA17 AA19:AA23 AA25:AA28 AA30:AA34">
    <cfRule type="top10" priority="5" dxfId="1" stopIfTrue="1" rank="5"/>
  </conditionalFormatting>
  <printOptions horizontalCentered="1" verticalCentered="1"/>
  <pageMargins left="0.2362204724409449" right="0.2362204724409449" top="0.2362204724409449" bottom="0.2362204724409449" header="0.5118110236220472" footer="0.5118110236220472"/>
  <pageSetup horizontalDpi="600" verticalDpi="600" orientation="landscape" paperSize="9" scale="73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5" sqref="E45"/>
    </sheetView>
  </sheetViews>
  <sheetFormatPr defaultColWidth="9.140625" defaultRowHeight="12.75"/>
  <cols>
    <col min="1" max="1" width="6.140625" style="324" customWidth="1"/>
    <col min="2" max="2" width="24.140625" style="324" customWidth="1"/>
    <col min="3" max="3" width="6.7109375" style="324" customWidth="1"/>
    <col min="4" max="4" width="12.140625" style="324" customWidth="1"/>
    <col min="5" max="5" width="10.140625" style="324" customWidth="1"/>
    <col min="6" max="6" width="12.00390625" style="324" customWidth="1"/>
    <col min="7" max="7" width="10.140625" style="324" customWidth="1"/>
    <col min="8" max="8" width="12.140625" style="324" customWidth="1"/>
    <col min="9" max="9" width="14.28125" style="329" customWidth="1"/>
    <col min="10" max="10" width="14.140625" style="324" customWidth="1"/>
    <col min="11" max="11" width="11.28125" style="324" customWidth="1"/>
    <col min="12" max="12" width="13.00390625" style="324" customWidth="1"/>
    <col min="13" max="14" width="14.28125" style="324" customWidth="1"/>
    <col min="15" max="15" width="11.8515625" style="324" customWidth="1"/>
    <col min="16" max="22" width="11.7109375" style="324" customWidth="1"/>
    <col min="23" max="23" width="10.140625" style="324" bestFit="1" customWidth="1"/>
    <col min="24" max="24" width="9.140625" style="324" customWidth="1"/>
    <col min="25" max="25" width="9.28125" style="324" customWidth="1"/>
    <col min="26" max="26" width="11.7109375" style="324" bestFit="1" customWidth="1"/>
    <col min="27" max="27" width="10.7109375" style="324" bestFit="1" customWidth="1"/>
    <col min="28" max="28" width="11.421875" style="324" customWidth="1"/>
    <col min="29" max="16384" width="9.140625" style="324" customWidth="1"/>
  </cols>
  <sheetData>
    <row r="1" ht="15.75">
      <c r="N1" s="29" t="s">
        <v>133</v>
      </c>
    </row>
    <row r="2" spans="2:9" ht="15">
      <c r="B2" s="26" t="str">
        <f>'Anne-6'!B2</f>
        <v>No. 1-2(1)/Market Share/2012-CP&amp;M </v>
      </c>
      <c r="C2" s="26"/>
      <c r="D2" s="26"/>
      <c r="E2" s="26"/>
      <c r="F2" s="26"/>
      <c r="G2" s="26"/>
      <c r="H2" s="26"/>
      <c r="I2" s="26" t="str">
        <f>'Anne-6'!G2</f>
        <v>Dated: 19th August 2013.</v>
      </c>
    </row>
    <row r="4" spans="2:3" ht="15.75">
      <c r="B4" s="29" t="s">
        <v>233</v>
      </c>
      <c r="C4" s="29"/>
    </row>
    <row r="5" spans="4:12" ht="15">
      <c r="D5" s="324">
        <v>1</v>
      </c>
      <c r="G5" s="324">
        <v>2</v>
      </c>
      <c r="I5" s="329">
        <v>3</v>
      </c>
      <c r="J5" s="324">
        <v>4</v>
      </c>
      <c r="K5" s="324">
        <v>5</v>
      </c>
      <c r="L5" s="324">
        <v>6</v>
      </c>
    </row>
    <row r="6" spans="1:22" ht="15" customHeight="1">
      <c r="A6" s="481" t="s">
        <v>19</v>
      </c>
      <c r="B6" s="481" t="s">
        <v>20</v>
      </c>
      <c r="C6" s="554" t="s">
        <v>118</v>
      </c>
      <c r="D6" s="570" t="s">
        <v>105</v>
      </c>
      <c r="E6" s="570"/>
      <c r="F6" s="570"/>
      <c r="G6" s="570"/>
      <c r="H6" s="570"/>
      <c r="I6" s="569" t="s">
        <v>184</v>
      </c>
      <c r="J6" s="569"/>
      <c r="K6" s="569"/>
      <c r="L6" s="569"/>
      <c r="M6" s="569"/>
      <c r="N6" s="564" t="s">
        <v>80</v>
      </c>
      <c r="O6" s="554" t="s">
        <v>120</v>
      </c>
      <c r="P6" s="477" t="s">
        <v>97</v>
      </c>
      <c r="Q6" s="481"/>
      <c r="R6" s="481"/>
      <c r="S6" s="481"/>
      <c r="T6" s="481"/>
      <c r="U6" s="481"/>
      <c r="V6" s="330"/>
    </row>
    <row r="7" spans="1:22" ht="18.75" customHeight="1">
      <c r="A7" s="481"/>
      <c r="B7" s="481"/>
      <c r="C7" s="555"/>
      <c r="D7" s="571" t="s">
        <v>1</v>
      </c>
      <c r="E7" s="571"/>
      <c r="F7" s="571"/>
      <c r="G7" s="572" t="s">
        <v>2</v>
      </c>
      <c r="H7" s="569" t="s">
        <v>89</v>
      </c>
      <c r="I7" s="563" t="s">
        <v>58</v>
      </c>
      <c r="J7" s="571" t="s">
        <v>59</v>
      </c>
      <c r="K7" s="567" t="s">
        <v>186</v>
      </c>
      <c r="L7" s="571" t="s">
        <v>187</v>
      </c>
      <c r="M7" s="565" t="s">
        <v>61</v>
      </c>
      <c r="N7" s="564"/>
      <c r="O7" s="555"/>
      <c r="P7" s="477" t="s">
        <v>98</v>
      </c>
      <c r="Q7" s="481"/>
      <c r="R7" s="481"/>
      <c r="S7" s="481" t="s">
        <v>6</v>
      </c>
      <c r="T7" s="481"/>
      <c r="U7" s="481"/>
      <c r="V7" s="330"/>
    </row>
    <row r="8" spans="1:22" ht="33.75" customHeight="1">
      <c r="A8" s="481"/>
      <c r="B8" s="481"/>
      <c r="C8" s="556"/>
      <c r="D8" s="355" t="s">
        <v>98</v>
      </c>
      <c r="E8" s="355" t="s">
        <v>6</v>
      </c>
      <c r="F8" s="355" t="s">
        <v>47</v>
      </c>
      <c r="G8" s="572"/>
      <c r="H8" s="569"/>
      <c r="I8" s="563"/>
      <c r="J8" s="571"/>
      <c r="K8" s="568"/>
      <c r="L8" s="571"/>
      <c r="M8" s="566"/>
      <c r="N8" s="564"/>
      <c r="O8" s="556"/>
      <c r="P8" s="53" t="s">
        <v>47</v>
      </c>
      <c r="Q8" s="401" t="s">
        <v>87</v>
      </c>
      <c r="R8" s="401" t="s">
        <v>88</v>
      </c>
      <c r="S8" s="402" t="s">
        <v>47</v>
      </c>
      <c r="T8" s="401" t="s">
        <v>87</v>
      </c>
      <c r="U8" s="401" t="s">
        <v>88</v>
      </c>
      <c r="V8" s="137"/>
    </row>
    <row r="9" spans="1:27" ht="17.25" customHeight="1">
      <c r="A9" s="331">
        <v>1</v>
      </c>
      <c r="B9" s="332" t="s">
        <v>21</v>
      </c>
      <c r="C9" s="332"/>
      <c r="D9" s="22"/>
      <c r="E9" s="22"/>
      <c r="F9" s="22"/>
      <c r="G9" s="21"/>
      <c r="H9" s="21"/>
      <c r="I9" s="33"/>
      <c r="J9" s="33"/>
      <c r="K9" s="33"/>
      <c r="L9" s="33"/>
      <c r="M9" s="21"/>
      <c r="N9" s="21"/>
      <c r="O9" s="103"/>
      <c r="P9" s="333">
        <f>Q9+R9</f>
        <v>5092</v>
      </c>
      <c r="Q9" s="429">
        <v>2246</v>
      </c>
      <c r="R9" s="334">
        <v>2846</v>
      </c>
      <c r="S9" s="334">
        <f>T9+U9</f>
        <v>6147</v>
      </c>
      <c r="T9" s="334">
        <v>4715</v>
      </c>
      <c r="U9" s="334">
        <v>1432</v>
      </c>
      <c r="V9" s="335"/>
      <c r="W9" s="310">
        <v>11239</v>
      </c>
      <c r="X9" s="310"/>
      <c r="Z9" s="336">
        <f>Q9+T9</f>
        <v>6961</v>
      </c>
      <c r="AA9" s="336">
        <f>R9+U9</f>
        <v>4278</v>
      </c>
    </row>
    <row r="10" spans="1:28" ht="15">
      <c r="A10" s="331">
        <v>2</v>
      </c>
      <c r="B10" s="332" t="s">
        <v>22</v>
      </c>
      <c r="C10" s="337">
        <v>3</v>
      </c>
      <c r="D10" s="356">
        <f>P10</f>
        <v>82835</v>
      </c>
      <c r="E10" s="356">
        <f>S10</f>
        <v>4951</v>
      </c>
      <c r="F10" s="356">
        <f>D10+E10</f>
        <v>87786</v>
      </c>
      <c r="G10" s="357"/>
      <c r="H10" s="357">
        <f>F10+G10</f>
        <v>87786</v>
      </c>
      <c r="I10" s="358">
        <v>7007940</v>
      </c>
      <c r="J10" s="358">
        <v>6417642</v>
      </c>
      <c r="K10" s="358"/>
      <c r="L10" s="358"/>
      <c r="M10" s="357">
        <f>I10+K10+J10+L10</f>
        <v>13425582</v>
      </c>
      <c r="N10" s="357">
        <f>M10+H10</f>
        <v>13513368</v>
      </c>
      <c r="O10" s="141">
        <f>F10/N10*100</f>
        <v>0.6496233951447189</v>
      </c>
      <c r="P10" s="338">
        <f aca="true" t="shared" si="0" ref="P10:P34">Q10+R10</f>
        <v>82835</v>
      </c>
      <c r="Q10" s="429">
        <v>17738</v>
      </c>
      <c r="R10" s="334">
        <v>65097</v>
      </c>
      <c r="S10" s="184">
        <f aca="true" t="shared" si="1" ref="S10:S23">T10+U10</f>
        <v>4951</v>
      </c>
      <c r="T10" s="334">
        <v>3395</v>
      </c>
      <c r="U10" s="334">
        <v>1556</v>
      </c>
      <c r="V10" s="335"/>
      <c r="W10" s="310">
        <v>87786</v>
      </c>
      <c r="Z10" s="336">
        <f aca="true" t="shared" si="2" ref="Z10:Z34">Q10+T10</f>
        <v>21133</v>
      </c>
      <c r="AA10" s="336">
        <f aca="true" t="shared" si="3" ref="AA10:AA34">R10+U10</f>
        <v>66653</v>
      </c>
      <c r="AB10" s="336"/>
    </row>
    <row r="11" spans="1:28" ht="15">
      <c r="A11" s="331">
        <v>3</v>
      </c>
      <c r="B11" s="332" t="s">
        <v>23</v>
      </c>
      <c r="C11" s="337">
        <v>1</v>
      </c>
      <c r="D11" s="356">
        <f>P11</f>
        <v>82969</v>
      </c>
      <c r="E11" s="356">
        <f>S11</f>
        <v>9392</v>
      </c>
      <c r="F11" s="356">
        <f aca="true" t="shared" si="4" ref="F11:F34">D11+E11</f>
        <v>92361</v>
      </c>
      <c r="G11" s="357"/>
      <c r="H11" s="357">
        <f aca="true" t="shared" si="5" ref="H11:H37">F11+G11</f>
        <v>92361</v>
      </c>
      <c r="I11" s="358"/>
      <c r="J11" s="358"/>
      <c r="K11" s="358"/>
      <c r="L11" s="358"/>
      <c r="M11" s="357">
        <f aca="true" t="shared" si="6" ref="M11:M33">I11+K11+J11+L11</f>
        <v>0</v>
      </c>
      <c r="N11" s="357">
        <f aca="true" t="shared" si="7" ref="N11:N37">M11+H11</f>
        <v>92361</v>
      </c>
      <c r="O11" s="141">
        <f aca="true" t="shared" si="8" ref="O11:O35">F11/N11*100</f>
        <v>100</v>
      </c>
      <c r="P11" s="338">
        <f t="shared" si="0"/>
        <v>82969</v>
      </c>
      <c r="Q11" s="429">
        <v>3096</v>
      </c>
      <c r="R11" s="334">
        <v>79873</v>
      </c>
      <c r="S11" s="184">
        <f t="shared" si="1"/>
        <v>9392</v>
      </c>
      <c r="T11" s="334">
        <v>618</v>
      </c>
      <c r="U11" s="334">
        <v>8774</v>
      </c>
      <c r="V11" s="335"/>
      <c r="W11" s="310">
        <v>92361</v>
      </c>
      <c r="X11" s="336"/>
      <c r="Z11" s="336">
        <f t="shared" si="2"/>
        <v>3714</v>
      </c>
      <c r="AA11" s="336">
        <f t="shared" si="3"/>
        <v>88647</v>
      </c>
      <c r="AB11" s="336"/>
    </row>
    <row r="12" spans="1:28" ht="15">
      <c r="A12" s="331">
        <v>4</v>
      </c>
      <c r="B12" s="332" t="s">
        <v>24</v>
      </c>
      <c r="C12" s="337">
        <v>3</v>
      </c>
      <c r="D12" s="356">
        <f>P12+P18</f>
        <v>209849</v>
      </c>
      <c r="E12" s="356">
        <f>S12+S18</f>
        <v>4029</v>
      </c>
      <c r="F12" s="356">
        <f t="shared" si="4"/>
        <v>213878</v>
      </c>
      <c r="G12" s="357"/>
      <c r="H12" s="357">
        <f t="shared" si="5"/>
        <v>213878</v>
      </c>
      <c r="I12" s="358">
        <v>4104864</v>
      </c>
      <c r="J12" s="358">
        <v>3504814</v>
      </c>
      <c r="K12" s="358"/>
      <c r="L12" s="358"/>
      <c r="M12" s="357">
        <f t="shared" si="6"/>
        <v>7609678</v>
      </c>
      <c r="N12" s="357">
        <f t="shared" si="7"/>
        <v>7823556</v>
      </c>
      <c r="O12" s="141">
        <f t="shared" si="8"/>
        <v>2.7337696566625205</v>
      </c>
      <c r="P12" s="338">
        <f t="shared" si="0"/>
        <v>111206</v>
      </c>
      <c r="Q12" s="429">
        <v>6129</v>
      </c>
      <c r="R12" s="334">
        <v>105077</v>
      </c>
      <c r="S12" s="184">
        <f t="shared" si="1"/>
        <v>2467</v>
      </c>
      <c r="T12" s="334">
        <v>1931</v>
      </c>
      <c r="U12" s="334">
        <v>536</v>
      </c>
      <c r="V12" s="335"/>
      <c r="W12" s="310">
        <v>113673</v>
      </c>
      <c r="X12" s="336"/>
      <c r="Z12" s="336">
        <f t="shared" si="2"/>
        <v>8060</v>
      </c>
      <c r="AA12" s="336">
        <f t="shared" si="3"/>
        <v>105613</v>
      </c>
      <c r="AB12" s="336"/>
    </row>
    <row r="13" spans="1:28" ht="15">
      <c r="A13" s="331">
        <v>5</v>
      </c>
      <c r="B13" s="332" t="s">
        <v>25</v>
      </c>
      <c r="C13" s="337"/>
      <c r="D13" s="356"/>
      <c r="E13" s="356"/>
      <c r="F13" s="356"/>
      <c r="G13" s="357"/>
      <c r="H13" s="357"/>
      <c r="I13" s="358"/>
      <c r="J13" s="358"/>
      <c r="K13" s="358"/>
      <c r="L13" s="358"/>
      <c r="M13" s="357"/>
      <c r="N13" s="357"/>
      <c r="O13" s="141"/>
      <c r="P13" s="338">
        <f t="shared" si="0"/>
        <v>111309</v>
      </c>
      <c r="Q13" s="429">
        <v>25932</v>
      </c>
      <c r="R13" s="334">
        <v>85377</v>
      </c>
      <c r="S13" s="184">
        <f t="shared" si="1"/>
        <v>6514</v>
      </c>
      <c r="T13" s="334">
        <v>1470</v>
      </c>
      <c r="U13" s="334">
        <v>5044</v>
      </c>
      <c r="V13" s="335"/>
      <c r="W13" s="310">
        <v>117823</v>
      </c>
      <c r="X13" s="336"/>
      <c r="Z13" s="336">
        <f t="shared" si="2"/>
        <v>27402</v>
      </c>
      <c r="AA13" s="336">
        <f t="shared" si="3"/>
        <v>90421</v>
      </c>
      <c r="AB13" s="336"/>
    </row>
    <row r="14" spans="1:28" ht="15">
      <c r="A14" s="331">
        <v>6</v>
      </c>
      <c r="B14" s="332" t="s">
        <v>26</v>
      </c>
      <c r="C14" s="337">
        <v>4</v>
      </c>
      <c r="D14" s="356">
        <f>P14</f>
        <v>93315</v>
      </c>
      <c r="E14" s="356">
        <f>S14</f>
        <v>22044</v>
      </c>
      <c r="F14" s="356">
        <f t="shared" si="4"/>
        <v>115359</v>
      </c>
      <c r="G14" s="357"/>
      <c r="H14" s="357">
        <f t="shared" si="5"/>
        <v>115359</v>
      </c>
      <c r="I14" s="358">
        <v>7193909</v>
      </c>
      <c r="J14" s="358">
        <v>2621346</v>
      </c>
      <c r="K14" s="358"/>
      <c r="L14" s="358">
        <v>200654</v>
      </c>
      <c r="M14" s="357">
        <f t="shared" si="6"/>
        <v>10015909</v>
      </c>
      <c r="N14" s="357">
        <f t="shared" si="7"/>
        <v>10131268</v>
      </c>
      <c r="O14" s="141">
        <f t="shared" si="8"/>
        <v>1.1386432576850203</v>
      </c>
      <c r="P14" s="338">
        <f t="shared" si="0"/>
        <v>93315</v>
      </c>
      <c r="Q14" s="429">
        <v>21519</v>
      </c>
      <c r="R14" s="334">
        <v>71796</v>
      </c>
      <c r="S14" s="184">
        <f>T14+U14</f>
        <v>22044</v>
      </c>
      <c r="T14" s="334">
        <v>20029</v>
      </c>
      <c r="U14" s="334">
        <v>2015</v>
      </c>
      <c r="V14" s="335"/>
      <c r="W14" s="310">
        <v>115359</v>
      </c>
      <c r="X14" s="336"/>
      <c r="Z14" s="336">
        <f t="shared" si="2"/>
        <v>41548</v>
      </c>
      <c r="AA14" s="336">
        <f t="shared" si="3"/>
        <v>73811</v>
      </c>
      <c r="AB14" s="336"/>
    </row>
    <row r="15" spans="1:28" ht="15">
      <c r="A15" s="331">
        <v>7</v>
      </c>
      <c r="B15" s="332" t="s">
        <v>27</v>
      </c>
      <c r="C15" s="337">
        <v>3</v>
      </c>
      <c r="D15" s="356">
        <f>P15</f>
        <v>17820</v>
      </c>
      <c r="E15" s="356">
        <f>S15</f>
        <v>1626</v>
      </c>
      <c r="F15" s="356">
        <f t="shared" si="4"/>
        <v>19446</v>
      </c>
      <c r="G15" s="357"/>
      <c r="H15" s="357">
        <f t="shared" si="5"/>
        <v>19446</v>
      </c>
      <c r="I15" s="358">
        <v>2440545</v>
      </c>
      <c r="J15" s="358">
        <v>2668470</v>
      </c>
      <c r="K15" s="358"/>
      <c r="L15" s="358"/>
      <c r="M15" s="357">
        <f t="shared" si="6"/>
        <v>5109015</v>
      </c>
      <c r="N15" s="357">
        <f t="shared" si="7"/>
        <v>5128461</v>
      </c>
      <c r="O15" s="141">
        <f t="shared" si="8"/>
        <v>0.379178080909653</v>
      </c>
      <c r="P15" s="338">
        <f t="shared" si="0"/>
        <v>17820</v>
      </c>
      <c r="Q15" s="429">
        <v>2296</v>
      </c>
      <c r="R15" s="334">
        <v>15524</v>
      </c>
      <c r="S15" s="184">
        <f t="shared" si="1"/>
        <v>1626</v>
      </c>
      <c r="T15" s="339">
        <v>1484</v>
      </c>
      <c r="U15" s="334">
        <v>142</v>
      </c>
      <c r="V15" s="335"/>
      <c r="W15" s="310">
        <v>19446</v>
      </c>
      <c r="X15" s="336"/>
      <c r="Z15" s="336">
        <f t="shared" si="2"/>
        <v>3780</v>
      </c>
      <c r="AA15" s="336">
        <f t="shared" si="3"/>
        <v>15666</v>
      </c>
      <c r="AB15" s="336"/>
    </row>
    <row r="16" spans="1:28" ht="18" customHeight="1">
      <c r="A16" s="331">
        <v>8</v>
      </c>
      <c r="B16" s="332" t="s">
        <v>28</v>
      </c>
      <c r="C16" s="337">
        <v>2</v>
      </c>
      <c r="D16" s="356">
        <f>P16</f>
        <v>55151</v>
      </c>
      <c r="E16" s="356">
        <f>S16</f>
        <v>655</v>
      </c>
      <c r="F16" s="356">
        <f t="shared" si="4"/>
        <v>55806</v>
      </c>
      <c r="G16" s="357"/>
      <c r="H16" s="357">
        <f t="shared" si="5"/>
        <v>55806</v>
      </c>
      <c r="I16" s="358"/>
      <c r="J16" s="358">
        <v>166930</v>
      </c>
      <c r="K16" s="358"/>
      <c r="L16" s="358"/>
      <c r="M16" s="357">
        <f t="shared" si="6"/>
        <v>166930</v>
      </c>
      <c r="N16" s="357">
        <f t="shared" si="7"/>
        <v>222736</v>
      </c>
      <c r="O16" s="141">
        <f t="shared" si="8"/>
        <v>25.054773363982473</v>
      </c>
      <c r="P16" s="338">
        <f t="shared" si="0"/>
        <v>55151</v>
      </c>
      <c r="Q16" s="429">
        <v>3109</v>
      </c>
      <c r="R16" s="334">
        <v>52042</v>
      </c>
      <c r="S16" s="184">
        <f t="shared" si="1"/>
        <v>655</v>
      </c>
      <c r="T16" s="334">
        <v>100</v>
      </c>
      <c r="U16" s="334">
        <v>555</v>
      </c>
      <c r="V16" s="335"/>
      <c r="W16" s="310">
        <v>55806</v>
      </c>
      <c r="X16" s="336"/>
      <c r="Z16" s="336">
        <f t="shared" si="2"/>
        <v>3209</v>
      </c>
      <c r="AA16" s="336">
        <f t="shared" si="3"/>
        <v>52597</v>
      </c>
      <c r="AB16" s="336"/>
    </row>
    <row r="17" spans="1:28" ht="17.25" customHeight="1">
      <c r="A17" s="331">
        <v>9</v>
      </c>
      <c r="B17" s="332" t="s">
        <v>29</v>
      </c>
      <c r="C17" s="337">
        <v>2</v>
      </c>
      <c r="D17" s="356">
        <f>P17</f>
        <v>66605</v>
      </c>
      <c r="E17" s="356">
        <f>S17</f>
        <v>490</v>
      </c>
      <c r="F17" s="356">
        <f t="shared" si="4"/>
        <v>67095</v>
      </c>
      <c r="G17" s="357"/>
      <c r="H17" s="357">
        <f t="shared" si="5"/>
        <v>67095</v>
      </c>
      <c r="I17" s="358">
        <v>645919</v>
      </c>
      <c r="J17" s="358"/>
      <c r="K17" s="358"/>
      <c r="L17" s="358"/>
      <c r="M17" s="357">
        <f t="shared" si="6"/>
        <v>645919</v>
      </c>
      <c r="N17" s="357">
        <f t="shared" si="7"/>
        <v>713014</v>
      </c>
      <c r="O17" s="141">
        <f t="shared" si="8"/>
        <v>9.410053659535437</v>
      </c>
      <c r="P17" s="338">
        <f t="shared" si="0"/>
        <v>66605</v>
      </c>
      <c r="Q17" s="429">
        <v>41053</v>
      </c>
      <c r="R17" s="334">
        <v>25552</v>
      </c>
      <c r="S17" s="184">
        <f t="shared" si="1"/>
        <v>490</v>
      </c>
      <c r="T17" s="334">
        <v>178</v>
      </c>
      <c r="U17" s="334">
        <v>312</v>
      </c>
      <c r="V17" s="335"/>
      <c r="W17" s="310">
        <v>67095</v>
      </c>
      <c r="X17" s="336"/>
      <c r="Z17" s="336">
        <f t="shared" si="2"/>
        <v>41231</v>
      </c>
      <c r="AA17" s="336">
        <f t="shared" si="3"/>
        <v>25864</v>
      </c>
      <c r="AB17" s="336"/>
    </row>
    <row r="18" spans="1:28" ht="15">
      <c r="A18" s="331">
        <v>10</v>
      </c>
      <c r="B18" s="332" t="s">
        <v>30</v>
      </c>
      <c r="C18" s="337"/>
      <c r="D18" s="356"/>
      <c r="E18" s="356"/>
      <c r="F18" s="356"/>
      <c r="G18" s="357"/>
      <c r="H18" s="357"/>
      <c r="I18" s="358"/>
      <c r="J18" s="358"/>
      <c r="K18" s="358"/>
      <c r="L18" s="358"/>
      <c r="M18" s="357"/>
      <c r="N18" s="357"/>
      <c r="O18" s="141"/>
      <c r="P18" s="338">
        <f t="shared" si="0"/>
        <v>98643</v>
      </c>
      <c r="Q18" s="429">
        <v>17263</v>
      </c>
      <c r="R18" s="334">
        <v>81380</v>
      </c>
      <c r="S18" s="184">
        <f t="shared" si="1"/>
        <v>1562</v>
      </c>
      <c r="T18" s="334">
        <v>1562</v>
      </c>
      <c r="U18" s="334">
        <v>0</v>
      </c>
      <c r="V18" s="335"/>
      <c r="W18" s="310">
        <v>100205</v>
      </c>
      <c r="X18" s="336"/>
      <c r="Z18" s="336">
        <f t="shared" si="2"/>
        <v>18825</v>
      </c>
      <c r="AA18" s="336">
        <f t="shared" si="3"/>
        <v>81380</v>
      </c>
      <c r="AB18" s="336"/>
    </row>
    <row r="19" spans="1:28" ht="15">
      <c r="A19" s="331">
        <v>11</v>
      </c>
      <c r="B19" s="332" t="s">
        <v>31</v>
      </c>
      <c r="C19" s="337">
        <v>4</v>
      </c>
      <c r="D19" s="356">
        <f>P19</f>
        <v>142535</v>
      </c>
      <c r="E19" s="356">
        <f>S19</f>
        <v>11748</v>
      </c>
      <c r="F19" s="356">
        <f t="shared" si="4"/>
        <v>154283</v>
      </c>
      <c r="G19" s="357"/>
      <c r="H19" s="357">
        <f t="shared" si="5"/>
        <v>154283</v>
      </c>
      <c r="I19" s="358">
        <v>6817531</v>
      </c>
      <c r="J19" s="358">
        <v>5816311</v>
      </c>
      <c r="K19" s="358"/>
      <c r="L19" s="358">
        <v>1983518</v>
      </c>
      <c r="M19" s="357">
        <f t="shared" si="6"/>
        <v>14617360</v>
      </c>
      <c r="N19" s="357">
        <f t="shared" si="7"/>
        <v>14771643</v>
      </c>
      <c r="O19" s="141">
        <f t="shared" si="8"/>
        <v>1.044453890471087</v>
      </c>
      <c r="P19" s="338">
        <f t="shared" si="0"/>
        <v>142535</v>
      </c>
      <c r="Q19" s="429">
        <v>28285</v>
      </c>
      <c r="R19" s="334">
        <v>114250</v>
      </c>
      <c r="S19" s="184">
        <f>T19+U19</f>
        <v>11748</v>
      </c>
      <c r="T19" s="334">
        <v>7472</v>
      </c>
      <c r="U19" s="334">
        <v>4276</v>
      </c>
      <c r="V19" s="335"/>
      <c r="W19" s="310">
        <v>154283</v>
      </c>
      <c r="X19" s="336"/>
      <c r="Z19" s="336">
        <f t="shared" si="2"/>
        <v>35757</v>
      </c>
      <c r="AA19" s="336">
        <f t="shared" si="3"/>
        <v>118526</v>
      </c>
      <c r="AB19" s="336"/>
    </row>
    <row r="20" spans="1:28" ht="15">
      <c r="A20" s="331">
        <v>12</v>
      </c>
      <c r="B20" s="332" t="s">
        <v>32</v>
      </c>
      <c r="C20" s="337">
        <v>4</v>
      </c>
      <c r="D20" s="356">
        <f>P20</f>
        <v>273345</v>
      </c>
      <c r="E20" s="356">
        <f>S20</f>
        <v>4527</v>
      </c>
      <c r="F20" s="356">
        <f t="shared" si="4"/>
        <v>277872</v>
      </c>
      <c r="G20" s="357"/>
      <c r="H20" s="357">
        <f t="shared" si="5"/>
        <v>277872</v>
      </c>
      <c r="I20" s="358">
        <v>2977299</v>
      </c>
      <c r="J20" s="358">
        <v>1705518</v>
      </c>
      <c r="K20" s="358"/>
      <c r="L20" s="358">
        <v>450599</v>
      </c>
      <c r="M20" s="357">
        <f t="shared" si="6"/>
        <v>5133416</v>
      </c>
      <c r="N20" s="357">
        <f t="shared" si="7"/>
        <v>5411288</v>
      </c>
      <c r="O20" s="141">
        <f t="shared" si="8"/>
        <v>5.135043634713214</v>
      </c>
      <c r="P20" s="338">
        <f t="shared" si="0"/>
        <v>273345</v>
      </c>
      <c r="Q20" s="429">
        <v>37463</v>
      </c>
      <c r="R20" s="334">
        <v>235882</v>
      </c>
      <c r="S20" s="184">
        <f t="shared" si="1"/>
        <v>4527</v>
      </c>
      <c r="T20" s="334">
        <v>2783</v>
      </c>
      <c r="U20" s="334">
        <v>1744</v>
      </c>
      <c r="V20" s="335"/>
      <c r="W20" s="310">
        <v>277872</v>
      </c>
      <c r="X20" s="336"/>
      <c r="Z20" s="336">
        <f t="shared" si="2"/>
        <v>40246</v>
      </c>
      <c r="AA20" s="336">
        <f t="shared" si="3"/>
        <v>237626</v>
      </c>
      <c r="AB20" s="336"/>
    </row>
    <row r="21" spans="1:28" ht="15">
      <c r="A21" s="331">
        <v>13</v>
      </c>
      <c r="B21" s="332" t="s">
        <v>33</v>
      </c>
      <c r="C21" s="337">
        <v>3</v>
      </c>
      <c r="D21" s="356">
        <f>P21+P13</f>
        <v>192337</v>
      </c>
      <c r="E21" s="356">
        <f>S21+S13</f>
        <v>14956</v>
      </c>
      <c r="F21" s="356">
        <f t="shared" si="4"/>
        <v>207293</v>
      </c>
      <c r="G21" s="357"/>
      <c r="H21" s="357">
        <f t="shared" si="5"/>
        <v>207293</v>
      </c>
      <c r="I21" s="358">
        <v>4496736</v>
      </c>
      <c r="J21" s="358">
        <v>3931501</v>
      </c>
      <c r="K21" s="358"/>
      <c r="L21" s="358"/>
      <c r="M21" s="357">
        <f t="shared" si="6"/>
        <v>8428237</v>
      </c>
      <c r="N21" s="357">
        <f t="shared" si="7"/>
        <v>8635530</v>
      </c>
      <c r="O21" s="141">
        <f t="shared" si="8"/>
        <v>2.4004664450242195</v>
      </c>
      <c r="P21" s="338">
        <f t="shared" si="0"/>
        <v>81028</v>
      </c>
      <c r="Q21" s="429">
        <v>20036</v>
      </c>
      <c r="R21" s="334">
        <v>60992</v>
      </c>
      <c r="S21" s="184">
        <f t="shared" si="1"/>
        <v>8442</v>
      </c>
      <c r="T21" s="334">
        <v>6766</v>
      </c>
      <c r="U21" s="334">
        <v>1676</v>
      </c>
      <c r="V21" s="335"/>
      <c r="W21" s="310">
        <v>89470</v>
      </c>
      <c r="X21" s="336"/>
      <c r="Z21" s="336">
        <f t="shared" si="2"/>
        <v>26802</v>
      </c>
      <c r="AA21" s="336">
        <f t="shared" si="3"/>
        <v>62668</v>
      </c>
      <c r="AB21" s="336"/>
    </row>
    <row r="22" spans="1:28" ht="15">
      <c r="A22" s="331">
        <v>14</v>
      </c>
      <c r="B22" s="332" t="s">
        <v>34</v>
      </c>
      <c r="C22" s="337">
        <v>3</v>
      </c>
      <c r="D22" s="356">
        <f>P22</f>
        <v>140608</v>
      </c>
      <c r="E22" s="356">
        <f>S22</f>
        <v>3068</v>
      </c>
      <c r="F22" s="356">
        <f t="shared" si="4"/>
        <v>143676</v>
      </c>
      <c r="G22" s="357"/>
      <c r="H22" s="357">
        <f t="shared" si="5"/>
        <v>143676</v>
      </c>
      <c r="I22" s="358">
        <v>8107701</v>
      </c>
      <c r="J22" s="358">
        <v>6180796</v>
      </c>
      <c r="K22" s="358"/>
      <c r="L22" s="358"/>
      <c r="M22" s="357">
        <f t="shared" si="6"/>
        <v>14288497</v>
      </c>
      <c r="N22" s="357">
        <f t="shared" si="7"/>
        <v>14432173</v>
      </c>
      <c r="O22" s="141">
        <f t="shared" si="8"/>
        <v>0.9955257603965807</v>
      </c>
      <c r="P22" s="338">
        <f t="shared" si="0"/>
        <v>140608</v>
      </c>
      <c r="Q22" s="429">
        <v>38024</v>
      </c>
      <c r="R22" s="334">
        <v>102584</v>
      </c>
      <c r="S22" s="184">
        <f t="shared" si="1"/>
        <v>3068</v>
      </c>
      <c r="T22" s="334">
        <v>2491</v>
      </c>
      <c r="U22" s="334">
        <v>577</v>
      </c>
      <c r="V22" s="335"/>
      <c r="W22" s="310">
        <v>143676</v>
      </c>
      <c r="X22" s="336"/>
      <c r="Z22" s="336">
        <f t="shared" si="2"/>
        <v>40515</v>
      </c>
      <c r="AA22" s="336">
        <f t="shared" si="3"/>
        <v>103161</v>
      </c>
      <c r="AB22" s="336"/>
    </row>
    <row r="23" spans="1:28" ht="15">
      <c r="A23" s="331">
        <v>15</v>
      </c>
      <c r="B23" s="332" t="s">
        <v>35</v>
      </c>
      <c r="C23" s="337">
        <v>1</v>
      </c>
      <c r="D23" s="356">
        <f>P23+P24</f>
        <v>147143</v>
      </c>
      <c r="E23" s="356">
        <f>S23+S24</f>
        <v>3186</v>
      </c>
      <c r="F23" s="356">
        <f t="shared" si="4"/>
        <v>150329</v>
      </c>
      <c r="G23" s="357"/>
      <c r="H23" s="357">
        <f t="shared" si="5"/>
        <v>150329</v>
      </c>
      <c r="I23" s="358"/>
      <c r="J23" s="358"/>
      <c r="K23" s="358"/>
      <c r="L23" s="358"/>
      <c r="M23" s="357">
        <f t="shared" si="6"/>
        <v>0</v>
      </c>
      <c r="N23" s="357">
        <f t="shared" si="7"/>
        <v>150329</v>
      </c>
      <c r="O23" s="141">
        <f t="shared" si="8"/>
        <v>100</v>
      </c>
      <c r="P23" s="338">
        <f t="shared" si="0"/>
        <v>67900</v>
      </c>
      <c r="Q23" s="429">
        <v>790</v>
      </c>
      <c r="R23" s="334">
        <v>67110</v>
      </c>
      <c r="S23" s="184">
        <f t="shared" si="1"/>
        <v>333</v>
      </c>
      <c r="T23" s="334">
        <v>44</v>
      </c>
      <c r="U23" s="334">
        <v>289</v>
      </c>
      <c r="V23" s="335"/>
      <c r="W23" s="310">
        <v>68233</v>
      </c>
      <c r="X23" s="336"/>
      <c r="Z23" s="336">
        <f t="shared" si="2"/>
        <v>834</v>
      </c>
      <c r="AA23" s="336">
        <f t="shared" si="3"/>
        <v>67399</v>
      </c>
      <c r="AB23" s="336"/>
    </row>
    <row r="24" spans="1:28" ht="15">
      <c r="A24" s="331">
        <v>16</v>
      </c>
      <c r="B24" s="332" t="s">
        <v>36</v>
      </c>
      <c r="C24" s="337"/>
      <c r="D24" s="356"/>
      <c r="E24" s="356"/>
      <c r="F24" s="356"/>
      <c r="G24" s="357"/>
      <c r="H24" s="357"/>
      <c r="I24" s="358"/>
      <c r="J24" s="358"/>
      <c r="K24" s="358"/>
      <c r="L24" s="358"/>
      <c r="M24" s="357"/>
      <c r="N24" s="357"/>
      <c r="O24" s="141"/>
      <c r="P24" s="338">
        <f t="shared" si="0"/>
        <v>79243</v>
      </c>
      <c r="Q24" s="429">
        <v>34491</v>
      </c>
      <c r="R24" s="334">
        <v>44752</v>
      </c>
      <c r="S24" s="184">
        <f aca="true" t="shared" si="9" ref="S24:S34">T24+U24</f>
        <v>2853</v>
      </c>
      <c r="T24" s="334">
        <v>2505</v>
      </c>
      <c r="U24" s="334">
        <v>348</v>
      </c>
      <c r="V24" s="335"/>
      <c r="W24" s="310">
        <v>82096</v>
      </c>
      <c r="X24" s="336"/>
      <c r="Z24" s="336">
        <f t="shared" si="2"/>
        <v>36996</v>
      </c>
      <c r="AA24" s="336">
        <f t="shared" si="3"/>
        <v>45100</v>
      </c>
      <c r="AB24" s="336"/>
    </row>
    <row r="25" spans="1:28" ht="15">
      <c r="A25" s="331">
        <v>17</v>
      </c>
      <c r="B25" s="332" t="s">
        <v>37</v>
      </c>
      <c r="C25" s="337">
        <v>2</v>
      </c>
      <c r="D25" s="356">
        <f>P25</f>
        <v>64785</v>
      </c>
      <c r="E25" s="356">
        <f>S25</f>
        <v>0</v>
      </c>
      <c r="F25" s="356">
        <f t="shared" si="4"/>
        <v>64785</v>
      </c>
      <c r="G25" s="357"/>
      <c r="H25" s="357">
        <f t="shared" si="5"/>
        <v>64785</v>
      </c>
      <c r="I25" s="358"/>
      <c r="J25" s="358">
        <v>2036183</v>
      </c>
      <c r="K25" s="358"/>
      <c r="L25" s="358"/>
      <c r="M25" s="357">
        <f t="shared" si="6"/>
        <v>2036183</v>
      </c>
      <c r="N25" s="357">
        <f t="shared" si="7"/>
        <v>2100968</v>
      </c>
      <c r="O25" s="141">
        <f t="shared" si="8"/>
        <v>3.0835786170945965</v>
      </c>
      <c r="P25" s="338">
        <f t="shared" si="0"/>
        <v>64785</v>
      </c>
      <c r="Q25" s="429">
        <v>24155</v>
      </c>
      <c r="R25" s="334">
        <v>40630</v>
      </c>
      <c r="S25" s="184">
        <f t="shared" si="9"/>
        <v>0</v>
      </c>
      <c r="T25" s="334">
        <v>0</v>
      </c>
      <c r="U25" s="334">
        <v>0</v>
      </c>
      <c r="V25" s="335"/>
      <c r="W25" s="310">
        <v>64785</v>
      </c>
      <c r="X25" s="336"/>
      <c r="Z25" s="336">
        <f t="shared" si="2"/>
        <v>24155</v>
      </c>
      <c r="AA25" s="336">
        <f t="shared" si="3"/>
        <v>40630</v>
      </c>
      <c r="AB25" s="336"/>
    </row>
    <row r="26" spans="1:28" ht="15">
      <c r="A26" s="331">
        <v>18</v>
      </c>
      <c r="B26" s="332" t="s">
        <v>38</v>
      </c>
      <c r="C26" s="337">
        <v>4</v>
      </c>
      <c r="D26" s="356">
        <f>P26</f>
        <v>21508</v>
      </c>
      <c r="E26" s="356">
        <f>S26</f>
        <v>17084</v>
      </c>
      <c r="F26" s="356">
        <f t="shared" si="4"/>
        <v>38592</v>
      </c>
      <c r="G26" s="357"/>
      <c r="H26" s="357">
        <f t="shared" si="5"/>
        <v>38592</v>
      </c>
      <c r="I26" s="358">
        <v>3240560</v>
      </c>
      <c r="J26" s="358">
        <v>2450093</v>
      </c>
      <c r="K26" s="358">
        <v>1419476</v>
      </c>
      <c r="L26" s="358"/>
      <c r="M26" s="357">
        <f t="shared" si="6"/>
        <v>7110129</v>
      </c>
      <c r="N26" s="357">
        <f t="shared" si="7"/>
        <v>7148721</v>
      </c>
      <c r="O26" s="141">
        <f t="shared" si="8"/>
        <v>0.5398448197936386</v>
      </c>
      <c r="P26" s="338">
        <f t="shared" si="0"/>
        <v>21508</v>
      </c>
      <c r="Q26" s="429">
        <v>4131</v>
      </c>
      <c r="R26" s="334">
        <v>17377</v>
      </c>
      <c r="S26" s="184">
        <f t="shared" si="9"/>
        <v>17084</v>
      </c>
      <c r="T26" s="340">
        <v>12662</v>
      </c>
      <c r="U26" s="334">
        <v>4422</v>
      </c>
      <c r="V26" s="335"/>
      <c r="W26" s="310">
        <v>38592</v>
      </c>
      <c r="X26" s="336"/>
      <c r="Z26" s="336">
        <f t="shared" si="2"/>
        <v>16793</v>
      </c>
      <c r="AA26" s="336">
        <f t="shared" si="3"/>
        <v>21799</v>
      </c>
      <c r="AB26" s="336"/>
    </row>
    <row r="27" spans="1:28" ht="15">
      <c r="A27" s="331">
        <v>19</v>
      </c>
      <c r="B27" s="332" t="s">
        <v>39</v>
      </c>
      <c r="C27" s="337">
        <v>4</v>
      </c>
      <c r="D27" s="356">
        <f>P27</f>
        <v>166391</v>
      </c>
      <c r="E27" s="356">
        <f>S27</f>
        <v>8821</v>
      </c>
      <c r="F27" s="356">
        <f t="shared" si="4"/>
        <v>175212</v>
      </c>
      <c r="G27" s="357"/>
      <c r="H27" s="357">
        <f t="shared" si="5"/>
        <v>175212</v>
      </c>
      <c r="I27" s="358">
        <v>5893323</v>
      </c>
      <c r="J27" s="358">
        <v>2661609</v>
      </c>
      <c r="K27" s="358"/>
      <c r="L27" s="358">
        <v>2163347</v>
      </c>
      <c r="M27" s="357">
        <f t="shared" si="6"/>
        <v>10718279</v>
      </c>
      <c r="N27" s="357">
        <f t="shared" si="7"/>
        <v>10893491</v>
      </c>
      <c r="O27" s="141">
        <f t="shared" si="8"/>
        <v>1.6084100129150518</v>
      </c>
      <c r="P27" s="338">
        <f t="shared" si="0"/>
        <v>166391</v>
      </c>
      <c r="Q27" s="429">
        <v>25047</v>
      </c>
      <c r="R27" s="334">
        <v>141344</v>
      </c>
      <c r="S27" s="184">
        <f t="shared" si="9"/>
        <v>8821</v>
      </c>
      <c r="T27" s="334">
        <v>7383</v>
      </c>
      <c r="U27" s="334">
        <v>1438</v>
      </c>
      <c r="V27" s="335"/>
      <c r="W27" s="310">
        <v>175212</v>
      </c>
      <c r="X27" s="336"/>
      <c r="Z27" s="336">
        <f t="shared" si="2"/>
        <v>32430</v>
      </c>
      <c r="AA27" s="336">
        <f t="shared" si="3"/>
        <v>142782</v>
      </c>
      <c r="AB27" s="336"/>
    </row>
    <row r="28" spans="1:28" ht="15">
      <c r="A28" s="331">
        <v>20</v>
      </c>
      <c r="B28" s="332" t="s">
        <v>40</v>
      </c>
      <c r="C28" s="337">
        <v>4</v>
      </c>
      <c r="D28" s="356">
        <f>P28</f>
        <v>92276</v>
      </c>
      <c r="E28" s="356">
        <f>S28</f>
        <v>5893</v>
      </c>
      <c r="F28" s="356">
        <f t="shared" si="4"/>
        <v>98169</v>
      </c>
      <c r="G28" s="357"/>
      <c r="H28" s="357">
        <f t="shared" si="5"/>
        <v>98169</v>
      </c>
      <c r="I28" s="358">
        <v>5913361</v>
      </c>
      <c r="J28" s="358">
        <v>3879996</v>
      </c>
      <c r="K28" s="358"/>
      <c r="L28" s="358">
        <v>1161453</v>
      </c>
      <c r="M28" s="357">
        <f t="shared" si="6"/>
        <v>10954810</v>
      </c>
      <c r="N28" s="357">
        <f t="shared" si="7"/>
        <v>11052979</v>
      </c>
      <c r="O28" s="141">
        <f t="shared" si="8"/>
        <v>0.8881677962113201</v>
      </c>
      <c r="P28" s="338">
        <f t="shared" si="0"/>
        <v>92276</v>
      </c>
      <c r="Q28" s="429">
        <v>4373</v>
      </c>
      <c r="R28" s="334">
        <v>87903</v>
      </c>
      <c r="S28" s="184">
        <f t="shared" si="9"/>
        <v>5893</v>
      </c>
      <c r="T28" s="334">
        <v>4618</v>
      </c>
      <c r="U28" s="334">
        <v>1275</v>
      </c>
      <c r="V28" s="335"/>
      <c r="W28" s="310">
        <v>98169</v>
      </c>
      <c r="X28" s="336"/>
      <c r="Z28" s="336">
        <f t="shared" si="2"/>
        <v>8991</v>
      </c>
      <c r="AA28" s="336">
        <f t="shared" si="3"/>
        <v>89178</v>
      </c>
      <c r="AB28" s="336"/>
    </row>
    <row r="29" spans="1:28" ht="15">
      <c r="A29" s="331">
        <v>21</v>
      </c>
      <c r="B29" s="332" t="s">
        <v>41</v>
      </c>
      <c r="C29" s="337"/>
      <c r="D29" s="356"/>
      <c r="E29" s="356"/>
      <c r="F29" s="356"/>
      <c r="G29" s="357"/>
      <c r="H29" s="357"/>
      <c r="I29" s="358"/>
      <c r="J29" s="358"/>
      <c r="K29" s="358"/>
      <c r="L29" s="358"/>
      <c r="M29" s="357"/>
      <c r="N29" s="357"/>
      <c r="O29" s="141"/>
      <c r="P29" s="338">
        <f t="shared" si="0"/>
        <v>42294</v>
      </c>
      <c r="Q29" s="429">
        <v>205</v>
      </c>
      <c r="R29" s="334">
        <v>42089</v>
      </c>
      <c r="S29" s="184">
        <f t="shared" si="9"/>
        <v>1109</v>
      </c>
      <c r="T29" s="340">
        <v>317</v>
      </c>
      <c r="U29" s="334">
        <v>792</v>
      </c>
      <c r="V29" s="335"/>
      <c r="W29" s="310">
        <v>43403</v>
      </c>
      <c r="X29" s="336"/>
      <c r="Z29" s="336">
        <f t="shared" si="2"/>
        <v>522</v>
      </c>
      <c r="AA29" s="336">
        <f t="shared" si="3"/>
        <v>42881</v>
      </c>
      <c r="AB29" s="336"/>
    </row>
    <row r="30" spans="1:28" ht="15">
      <c r="A30" s="331">
        <v>22</v>
      </c>
      <c r="B30" s="332" t="s">
        <v>42</v>
      </c>
      <c r="C30" s="337">
        <v>3</v>
      </c>
      <c r="D30" s="356">
        <f>P30</f>
        <v>367092</v>
      </c>
      <c r="E30" s="356">
        <f>S30</f>
        <v>51919</v>
      </c>
      <c r="F30" s="356">
        <f t="shared" si="4"/>
        <v>419011</v>
      </c>
      <c r="G30" s="357"/>
      <c r="H30" s="357">
        <f t="shared" si="5"/>
        <v>419011</v>
      </c>
      <c r="I30" s="358">
        <v>9967960</v>
      </c>
      <c r="J30" s="358">
        <v>4199876</v>
      </c>
      <c r="K30" s="358"/>
      <c r="L30" s="358"/>
      <c r="M30" s="357">
        <f>I30+K30+J30+L30</f>
        <v>14167836</v>
      </c>
      <c r="N30" s="357">
        <f t="shared" si="7"/>
        <v>14586847</v>
      </c>
      <c r="O30" s="141">
        <f t="shared" si="8"/>
        <v>2.8725261874618964</v>
      </c>
      <c r="P30" s="338">
        <f t="shared" si="0"/>
        <v>367092</v>
      </c>
      <c r="Q30" s="429">
        <v>34900</v>
      </c>
      <c r="R30" s="334">
        <v>332192</v>
      </c>
      <c r="S30" s="184">
        <f t="shared" si="9"/>
        <v>51919</v>
      </c>
      <c r="T30" s="341">
        <v>29458</v>
      </c>
      <c r="U30" s="334">
        <v>22461</v>
      </c>
      <c r="V30" s="335"/>
      <c r="W30" s="310">
        <v>419011</v>
      </c>
      <c r="X30" s="336"/>
      <c r="Z30" s="336">
        <f t="shared" si="2"/>
        <v>64358</v>
      </c>
      <c r="AA30" s="336">
        <f t="shared" si="3"/>
        <v>354653</v>
      </c>
      <c r="AB30" s="336"/>
    </row>
    <row r="31" spans="1:28" ht="15.75" customHeight="1">
      <c r="A31" s="331">
        <v>23</v>
      </c>
      <c r="B31" s="332" t="s">
        <v>43</v>
      </c>
      <c r="C31" s="337">
        <v>4</v>
      </c>
      <c r="D31" s="356">
        <f>P31+P29</f>
        <v>88609</v>
      </c>
      <c r="E31" s="356">
        <f>S31+S29</f>
        <v>2684</v>
      </c>
      <c r="F31" s="356">
        <f t="shared" si="4"/>
        <v>91293</v>
      </c>
      <c r="G31" s="357"/>
      <c r="H31" s="357">
        <f t="shared" si="5"/>
        <v>91293</v>
      </c>
      <c r="I31" s="358">
        <v>6839716</v>
      </c>
      <c r="J31" s="358">
        <v>3771043</v>
      </c>
      <c r="K31" s="358"/>
      <c r="L31" s="358">
        <v>379458</v>
      </c>
      <c r="M31" s="357">
        <f t="shared" si="6"/>
        <v>10990217</v>
      </c>
      <c r="N31" s="357">
        <f t="shared" si="7"/>
        <v>11081510</v>
      </c>
      <c r="O31" s="141">
        <f t="shared" si="8"/>
        <v>0.8238317702190405</v>
      </c>
      <c r="P31" s="338">
        <f t="shared" si="0"/>
        <v>46315</v>
      </c>
      <c r="Q31" s="429">
        <v>12474</v>
      </c>
      <c r="R31" s="334">
        <v>33841</v>
      </c>
      <c r="S31" s="184">
        <f t="shared" si="9"/>
        <v>1575</v>
      </c>
      <c r="T31" s="340">
        <v>816</v>
      </c>
      <c r="U31" s="334">
        <v>759</v>
      </c>
      <c r="V31" s="335"/>
      <c r="W31" s="310">
        <v>47890</v>
      </c>
      <c r="X31" s="336"/>
      <c r="Z31" s="336">
        <f t="shared" si="2"/>
        <v>13290</v>
      </c>
      <c r="AA31" s="336">
        <f t="shared" si="3"/>
        <v>34600</v>
      </c>
      <c r="AB31" s="336"/>
    </row>
    <row r="32" spans="1:28" ht="15">
      <c r="A32" s="331">
        <v>24</v>
      </c>
      <c r="B32" s="332" t="s">
        <v>44</v>
      </c>
      <c r="C32" s="337">
        <v>3</v>
      </c>
      <c r="D32" s="356">
        <f>P32+P9</f>
        <v>59041</v>
      </c>
      <c r="E32" s="356">
        <f>S32+S9</f>
        <v>9931</v>
      </c>
      <c r="F32" s="356">
        <f t="shared" si="4"/>
        <v>68972</v>
      </c>
      <c r="G32" s="357"/>
      <c r="H32" s="357">
        <f t="shared" si="5"/>
        <v>68972</v>
      </c>
      <c r="I32" s="358"/>
      <c r="J32" s="358">
        <v>1864862</v>
      </c>
      <c r="K32" s="358"/>
      <c r="L32" s="358">
        <v>1770490</v>
      </c>
      <c r="M32" s="357">
        <f t="shared" si="6"/>
        <v>3635352</v>
      </c>
      <c r="N32" s="357">
        <f t="shared" si="7"/>
        <v>3704324</v>
      </c>
      <c r="O32" s="141">
        <f t="shared" si="8"/>
        <v>1.86193216360124</v>
      </c>
      <c r="P32" s="338">
        <f t="shared" si="0"/>
        <v>53949</v>
      </c>
      <c r="Q32" s="429">
        <v>-1797</v>
      </c>
      <c r="R32" s="334">
        <v>55746</v>
      </c>
      <c r="S32" s="184">
        <f t="shared" si="9"/>
        <v>3784</v>
      </c>
      <c r="T32" s="334">
        <v>2766</v>
      </c>
      <c r="U32" s="334">
        <v>1018</v>
      </c>
      <c r="V32" s="335"/>
      <c r="W32" s="310">
        <v>57733</v>
      </c>
      <c r="X32" s="336"/>
      <c r="Z32" s="336">
        <f t="shared" si="2"/>
        <v>969</v>
      </c>
      <c r="AA32" s="336">
        <f t="shared" si="3"/>
        <v>56764</v>
      </c>
      <c r="AB32" s="336"/>
    </row>
    <row r="33" spans="1:28" ht="15">
      <c r="A33" s="331">
        <v>25</v>
      </c>
      <c r="B33" s="332" t="s">
        <v>45</v>
      </c>
      <c r="C33" s="337">
        <v>3</v>
      </c>
      <c r="D33" s="356">
        <f>P33</f>
        <v>19948</v>
      </c>
      <c r="E33" s="356">
        <f>S33</f>
        <v>2836</v>
      </c>
      <c r="F33" s="356">
        <f t="shared" si="4"/>
        <v>22784</v>
      </c>
      <c r="G33" s="357"/>
      <c r="H33" s="357">
        <f t="shared" si="5"/>
        <v>22784</v>
      </c>
      <c r="I33" s="358"/>
      <c r="J33" s="358">
        <v>2840141</v>
      </c>
      <c r="K33" s="358"/>
      <c r="L33" s="358">
        <v>778263</v>
      </c>
      <c r="M33" s="357">
        <f t="shared" si="6"/>
        <v>3618404</v>
      </c>
      <c r="N33" s="357">
        <f t="shared" si="7"/>
        <v>3641188</v>
      </c>
      <c r="O33" s="141">
        <f t="shared" si="8"/>
        <v>0.6257298442156791</v>
      </c>
      <c r="P33" s="338">
        <f t="shared" si="0"/>
        <v>19948</v>
      </c>
      <c r="Q33" s="429">
        <v>19948</v>
      </c>
      <c r="R33" s="334">
        <v>0</v>
      </c>
      <c r="S33" s="184">
        <f t="shared" si="9"/>
        <v>2836</v>
      </c>
      <c r="T33" s="334">
        <v>2836</v>
      </c>
      <c r="U33" s="334">
        <v>0</v>
      </c>
      <c r="V33" s="335"/>
      <c r="W33" s="310">
        <v>22784</v>
      </c>
      <c r="X33" s="336"/>
      <c r="Z33" s="336">
        <f t="shared" si="2"/>
        <v>22784</v>
      </c>
      <c r="AA33" s="336">
        <f t="shared" si="3"/>
        <v>0</v>
      </c>
      <c r="AB33" s="336"/>
    </row>
    <row r="34" spans="1:28" ht="15">
      <c r="A34" s="331">
        <v>26</v>
      </c>
      <c r="B34" s="332" t="s">
        <v>46</v>
      </c>
      <c r="C34" s="337">
        <v>3</v>
      </c>
      <c r="D34" s="356">
        <f>P34</f>
        <v>12725</v>
      </c>
      <c r="E34" s="356">
        <f>S34</f>
        <v>1444</v>
      </c>
      <c r="F34" s="356">
        <f t="shared" si="4"/>
        <v>14169</v>
      </c>
      <c r="G34" s="357"/>
      <c r="H34" s="357">
        <f t="shared" si="5"/>
        <v>14169</v>
      </c>
      <c r="I34" s="358">
        <v>899334</v>
      </c>
      <c r="J34" s="358">
        <v>1350425</v>
      </c>
      <c r="K34" s="358"/>
      <c r="L34" s="358"/>
      <c r="M34" s="357">
        <f>I34+K34+J34+L34</f>
        <v>2249759</v>
      </c>
      <c r="N34" s="357">
        <f t="shared" si="7"/>
        <v>2263928</v>
      </c>
      <c r="O34" s="141">
        <f t="shared" si="8"/>
        <v>0.6258591262619659</v>
      </c>
      <c r="P34" s="338">
        <f t="shared" si="0"/>
        <v>12725</v>
      </c>
      <c r="Q34" s="429">
        <v>857</v>
      </c>
      <c r="R34" s="334">
        <v>11868</v>
      </c>
      <c r="S34" s="184">
        <f t="shared" si="9"/>
        <v>1444</v>
      </c>
      <c r="T34" s="334">
        <v>1444</v>
      </c>
      <c r="U34" s="334">
        <v>0</v>
      </c>
      <c r="V34" s="335"/>
      <c r="W34" s="310">
        <v>14169</v>
      </c>
      <c r="X34" s="336"/>
      <c r="Z34" s="336">
        <f t="shared" si="2"/>
        <v>2301</v>
      </c>
      <c r="AA34" s="336">
        <f t="shared" si="3"/>
        <v>11868</v>
      </c>
      <c r="AB34" s="336"/>
    </row>
    <row r="35" spans="1:28" ht="15.75">
      <c r="A35" s="331"/>
      <c r="B35" s="27" t="s">
        <v>47</v>
      </c>
      <c r="C35" s="331">
        <v>4</v>
      </c>
      <c r="D35" s="359">
        <f>SUM(D9:D34)</f>
        <v>2396887</v>
      </c>
      <c r="E35" s="359">
        <f>SUM(E9:E34)</f>
        <v>181284</v>
      </c>
      <c r="F35" s="359">
        <f>SUM(F9:F34)</f>
        <v>2578171</v>
      </c>
      <c r="G35" s="357">
        <f aca="true" t="shared" si="10" ref="G35:L35">SUM(G9:G34)</f>
        <v>0</v>
      </c>
      <c r="H35" s="357">
        <f t="shared" si="10"/>
        <v>2578171</v>
      </c>
      <c r="I35" s="358">
        <f t="shared" si="10"/>
        <v>76546698</v>
      </c>
      <c r="J35" s="358">
        <f t="shared" si="10"/>
        <v>58067556</v>
      </c>
      <c r="K35" s="358">
        <f t="shared" si="10"/>
        <v>1419476</v>
      </c>
      <c r="L35" s="358">
        <f t="shared" si="10"/>
        <v>8887782</v>
      </c>
      <c r="M35" s="357">
        <f>SUM(M9:M34)</f>
        <v>144921512</v>
      </c>
      <c r="N35" s="357">
        <f>SUM(N9:N34)</f>
        <v>147499683</v>
      </c>
      <c r="O35" s="141">
        <f t="shared" si="8"/>
        <v>1.7479162989116388</v>
      </c>
      <c r="P35" s="338">
        <f aca="true" t="shared" si="11" ref="P35:U35">SUM(P9:P34)</f>
        <v>2396887</v>
      </c>
      <c r="Q35" s="21">
        <f t="shared" si="11"/>
        <v>423763</v>
      </c>
      <c r="R35" s="21">
        <f t="shared" si="11"/>
        <v>1973124</v>
      </c>
      <c r="S35" s="184">
        <f t="shared" si="11"/>
        <v>181284</v>
      </c>
      <c r="T35" s="21">
        <f t="shared" si="11"/>
        <v>119843</v>
      </c>
      <c r="U35" s="184">
        <f t="shared" si="11"/>
        <v>61441</v>
      </c>
      <c r="V35" s="335"/>
      <c r="W35" s="310"/>
      <c r="Z35" s="336"/>
      <c r="AA35" s="336"/>
      <c r="AB35" s="336"/>
    </row>
    <row r="36" spans="1:28" ht="15">
      <c r="A36" s="185">
        <v>27</v>
      </c>
      <c r="B36" s="28" t="s">
        <v>48</v>
      </c>
      <c r="C36" s="185"/>
      <c r="D36" s="357"/>
      <c r="E36" s="357"/>
      <c r="F36" s="357"/>
      <c r="G36" s="357">
        <v>80950</v>
      </c>
      <c r="H36" s="357">
        <f t="shared" si="5"/>
        <v>80950</v>
      </c>
      <c r="I36" s="358">
        <v>7794512</v>
      </c>
      <c r="J36" s="358">
        <v>3032124</v>
      </c>
      <c r="K36" s="358"/>
      <c r="L36" s="358">
        <v>881544</v>
      </c>
      <c r="M36" s="357">
        <f>I36+K36+J36+L36</f>
        <v>11708180</v>
      </c>
      <c r="N36" s="357">
        <f t="shared" si="7"/>
        <v>11789130</v>
      </c>
      <c r="O36" s="364" t="s">
        <v>130</v>
      </c>
      <c r="AB36" s="336"/>
    </row>
    <row r="37" spans="1:28" ht="15">
      <c r="A37" s="185">
        <v>28</v>
      </c>
      <c r="B37" s="28" t="s">
        <v>49</v>
      </c>
      <c r="C37" s="185"/>
      <c r="D37" s="357"/>
      <c r="E37" s="357"/>
      <c r="F37" s="357"/>
      <c r="G37" s="357">
        <v>194593</v>
      </c>
      <c r="H37" s="357">
        <f t="shared" si="5"/>
        <v>194593</v>
      </c>
      <c r="I37" s="358">
        <v>6073982</v>
      </c>
      <c r="J37" s="358">
        <v>3526335</v>
      </c>
      <c r="K37" s="358"/>
      <c r="L37" s="358"/>
      <c r="M37" s="357">
        <f>I37+K37+J37+L37</f>
        <v>9600317</v>
      </c>
      <c r="N37" s="357">
        <f t="shared" si="7"/>
        <v>9794910</v>
      </c>
      <c r="O37" s="364" t="s">
        <v>130</v>
      </c>
      <c r="Q37" s="342"/>
      <c r="R37" s="342"/>
      <c r="S37" s="336"/>
      <c r="T37" s="336"/>
      <c r="U37" s="336"/>
      <c r="Z37" s="336"/>
      <c r="AB37" s="336"/>
    </row>
    <row r="38" spans="1:28" ht="15">
      <c r="A38" s="185"/>
      <c r="B38" s="28" t="s">
        <v>50</v>
      </c>
      <c r="C38" s="185">
        <v>4</v>
      </c>
      <c r="D38" s="357">
        <f aca="true" t="shared" si="12" ref="D38:J38">SUM(D35:D37)</f>
        <v>2396887</v>
      </c>
      <c r="E38" s="357">
        <f t="shared" si="12"/>
        <v>181284</v>
      </c>
      <c r="F38" s="357">
        <f t="shared" si="12"/>
        <v>2578171</v>
      </c>
      <c r="G38" s="357">
        <f t="shared" si="12"/>
        <v>275543</v>
      </c>
      <c r="H38" s="357">
        <f t="shared" si="12"/>
        <v>2853714</v>
      </c>
      <c r="I38" s="358">
        <f t="shared" si="12"/>
        <v>90415192</v>
      </c>
      <c r="J38" s="358">
        <f t="shared" si="12"/>
        <v>64626015</v>
      </c>
      <c r="K38" s="358">
        <f>SUM(K35:K37)</f>
        <v>1419476</v>
      </c>
      <c r="L38" s="358">
        <f>SUM(L35:L37)</f>
        <v>9769326</v>
      </c>
      <c r="M38" s="357">
        <f>SUM(M35:M37)</f>
        <v>166230009</v>
      </c>
      <c r="N38" s="357">
        <f>SUM(N35:N37)</f>
        <v>169083723</v>
      </c>
      <c r="O38" s="141">
        <f>F38/N38*100</f>
        <v>1.5247895860443055</v>
      </c>
      <c r="Q38" s="342"/>
      <c r="S38" s="336"/>
      <c r="T38" s="336"/>
      <c r="U38" s="336"/>
      <c r="Z38" s="336"/>
      <c r="AA38" s="336"/>
      <c r="AB38" s="336"/>
    </row>
    <row r="39" spans="1:28" ht="15">
      <c r="A39" s="28" t="s">
        <v>51</v>
      </c>
      <c r="B39" s="343"/>
      <c r="C39" s="344"/>
      <c r="D39" s="360">
        <f>D38/$N$38*100</f>
        <v>1.4175740618155184</v>
      </c>
      <c r="E39" s="360">
        <f aca="true" t="shared" si="13" ref="E39:N39">E38/$N$38*100</f>
        <v>0.10721552422878694</v>
      </c>
      <c r="F39" s="360">
        <f t="shared" si="13"/>
        <v>1.5247895860443055</v>
      </c>
      <c r="G39" s="360">
        <f t="shared" si="13"/>
        <v>0.16296246327625516</v>
      </c>
      <c r="H39" s="360">
        <f t="shared" si="13"/>
        <v>1.6877520493205604</v>
      </c>
      <c r="I39" s="360">
        <f t="shared" si="13"/>
        <v>53.47362265024174</v>
      </c>
      <c r="J39" s="360">
        <f t="shared" si="13"/>
        <v>38.22131063437727</v>
      </c>
      <c r="K39" s="360">
        <f t="shared" si="13"/>
        <v>0.839510731615485</v>
      </c>
      <c r="L39" s="360">
        <f t="shared" si="13"/>
        <v>5.777803934444949</v>
      </c>
      <c r="M39" s="360">
        <f t="shared" si="13"/>
        <v>98.31224795067945</v>
      </c>
      <c r="N39" s="360">
        <f t="shared" si="13"/>
        <v>100</v>
      </c>
      <c r="O39" s="345"/>
      <c r="Z39" s="336"/>
      <c r="AA39" s="336"/>
      <c r="AB39" s="336"/>
    </row>
    <row r="40" spans="1:17" ht="15">
      <c r="A40" s="162"/>
      <c r="B40" s="346"/>
      <c r="C40" s="347"/>
      <c r="D40" s="361"/>
      <c r="E40" s="361"/>
      <c r="F40" s="361"/>
      <c r="G40" s="361"/>
      <c r="H40" s="361"/>
      <c r="I40" s="362"/>
      <c r="J40" s="361"/>
      <c r="K40" s="361"/>
      <c r="L40" s="361"/>
      <c r="M40" s="361"/>
      <c r="N40" s="361"/>
      <c r="O40" s="348"/>
      <c r="Q40" s="336"/>
    </row>
    <row r="41" spans="1:15" ht="15">
      <c r="A41" s="28" t="str">
        <f>'Anne-6'!A42</f>
        <v>Conn. As on 31.05.2013</v>
      </c>
      <c r="B41" s="343"/>
      <c r="C41" s="344">
        <v>4</v>
      </c>
      <c r="D41" s="363">
        <v>2418118</v>
      </c>
      <c r="E41" s="357">
        <v>175767</v>
      </c>
      <c r="F41" s="357">
        <v>2593885</v>
      </c>
      <c r="G41" s="363">
        <v>275543</v>
      </c>
      <c r="H41" s="357">
        <v>2869428</v>
      </c>
      <c r="I41" s="358">
        <v>89860745</v>
      </c>
      <c r="J41" s="363">
        <v>65265214</v>
      </c>
      <c r="K41" s="363">
        <v>1442686</v>
      </c>
      <c r="L41" s="363">
        <v>10119469</v>
      </c>
      <c r="M41" s="363">
        <v>166688114</v>
      </c>
      <c r="N41" s="357">
        <v>169557542</v>
      </c>
      <c r="O41" s="150">
        <f>F41/N41*100</f>
        <v>1.5297962977075947</v>
      </c>
    </row>
    <row r="42" spans="1:15" ht="15">
      <c r="A42" s="28" t="str">
        <f>'Anne-6'!A43</f>
        <v>Addition during Jun 2013</v>
      </c>
      <c r="B42" s="349"/>
      <c r="C42" s="350">
        <v>3</v>
      </c>
      <c r="D42" s="363">
        <f>D38-D41</f>
        <v>-21231</v>
      </c>
      <c r="E42" s="363">
        <f>E38-E41</f>
        <v>5517</v>
      </c>
      <c r="F42" s="363">
        <f>F38-F41</f>
        <v>-15714</v>
      </c>
      <c r="G42" s="363">
        <f>G38-G41</f>
        <v>0</v>
      </c>
      <c r="H42" s="363">
        <f>H38-H41</f>
        <v>-15714</v>
      </c>
      <c r="I42" s="363">
        <f aca="true" t="shared" si="14" ref="I42:N42">I38-I41</f>
        <v>554447</v>
      </c>
      <c r="J42" s="363">
        <f t="shared" si="14"/>
        <v>-639199</v>
      </c>
      <c r="K42" s="363">
        <f t="shared" si="14"/>
        <v>-23210</v>
      </c>
      <c r="L42" s="363">
        <f t="shared" si="14"/>
        <v>-350143</v>
      </c>
      <c r="M42" s="363">
        <f>M38-M41</f>
        <v>-458105</v>
      </c>
      <c r="N42" s="363">
        <f t="shared" si="14"/>
        <v>-473819</v>
      </c>
      <c r="O42" s="404" t="s">
        <v>130</v>
      </c>
    </row>
    <row r="43" spans="1:15" ht="15">
      <c r="A43" s="28" t="str">
        <f>'Anne-6'!A44</f>
        <v>Conn. As on 31.03.2013</v>
      </c>
      <c r="B43" s="349"/>
      <c r="C43" s="350">
        <v>4</v>
      </c>
      <c r="D43" s="357">
        <v>2535881</v>
      </c>
      <c r="E43" s="357">
        <v>165932</v>
      </c>
      <c r="F43" s="357">
        <v>2701813</v>
      </c>
      <c r="G43" s="357">
        <v>180883</v>
      </c>
      <c r="H43" s="357">
        <v>2882696</v>
      </c>
      <c r="I43" s="358">
        <v>88315700</v>
      </c>
      <c r="J43" s="358">
        <v>66416138</v>
      </c>
      <c r="K43" s="358">
        <v>1367658</v>
      </c>
      <c r="L43" s="358">
        <v>11912010</v>
      </c>
      <c r="M43" s="363">
        <v>168011506</v>
      </c>
      <c r="N43" s="357">
        <v>170894202</v>
      </c>
      <c r="O43" s="150">
        <f>F43/N43*100</f>
        <v>1.580985761003173</v>
      </c>
    </row>
    <row r="44" spans="1:15" ht="15">
      <c r="A44" s="28" t="str">
        <f>'Anne-6'!A45</f>
        <v>Addition during 2013-14</v>
      </c>
      <c r="B44" s="351"/>
      <c r="C44" s="352">
        <v>4</v>
      </c>
      <c r="D44" s="363">
        <f>D38-D43</f>
        <v>-138994</v>
      </c>
      <c r="E44" s="363">
        <f>E38-E43</f>
        <v>15352</v>
      </c>
      <c r="F44" s="363">
        <f>F38-F43</f>
        <v>-123642</v>
      </c>
      <c r="G44" s="363">
        <f>G38-G43</f>
        <v>94660</v>
      </c>
      <c r="H44" s="363">
        <f aca="true" t="shared" si="15" ref="H44:M44">H38-H43</f>
        <v>-28982</v>
      </c>
      <c r="I44" s="363">
        <f t="shared" si="15"/>
        <v>2099492</v>
      </c>
      <c r="J44" s="363">
        <f t="shared" si="15"/>
        <v>-1790123</v>
      </c>
      <c r="K44" s="363">
        <f t="shared" si="15"/>
        <v>51818</v>
      </c>
      <c r="L44" s="363">
        <f t="shared" si="15"/>
        <v>-2142684</v>
      </c>
      <c r="M44" s="363">
        <f t="shared" si="15"/>
        <v>-1781497</v>
      </c>
      <c r="N44" s="363">
        <f>N38-N43</f>
        <v>-1810479</v>
      </c>
      <c r="O44" s="404" t="s">
        <v>130</v>
      </c>
    </row>
    <row r="45" spans="2:15" ht="15">
      <c r="B45" s="34"/>
      <c r="C45" s="34"/>
      <c r="I45" s="353"/>
      <c r="M45" s="74"/>
      <c r="O45" s="74"/>
    </row>
    <row r="46" spans="2:7" ht="15">
      <c r="B46" s="34"/>
      <c r="C46" s="34"/>
      <c r="D46" s="336"/>
      <c r="E46" s="336"/>
      <c r="F46" s="336"/>
      <c r="G46" s="336"/>
    </row>
    <row r="47" spans="2:9" ht="15">
      <c r="B47" s="34"/>
      <c r="C47" s="34"/>
      <c r="D47" s="336"/>
      <c r="E47" s="336"/>
      <c r="F47" s="336"/>
      <c r="I47" s="354"/>
    </row>
    <row r="48" spans="2:16" ht="15.75">
      <c r="B48" s="34"/>
      <c r="C48" s="34"/>
      <c r="D48" s="336"/>
      <c r="E48" s="336"/>
      <c r="F48" s="336"/>
      <c r="M48" s="336"/>
      <c r="P48" s="29"/>
    </row>
    <row r="49" spans="2:9" ht="15">
      <c r="B49" s="34"/>
      <c r="C49" s="34"/>
      <c r="D49" s="336"/>
      <c r="E49" s="336"/>
      <c r="F49" s="336"/>
      <c r="G49" s="336"/>
      <c r="I49" s="354"/>
    </row>
    <row r="50" ht="15">
      <c r="I50" s="354"/>
    </row>
  </sheetData>
  <sheetProtection/>
  <mergeCells count="18">
    <mergeCell ref="A6:A8"/>
    <mergeCell ref="B6:B8"/>
    <mergeCell ref="C6:C8"/>
    <mergeCell ref="H7:H8"/>
    <mergeCell ref="D6:H6"/>
    <mergeCell ref="I6:M6"/>
    <mergeCell ref="D7:F7"/>
    <mergeCell ref="G7:G8"/>
    <mergeCell ref="L7:L8"/>
    <mergeCell ref="J7:J8"/>
    <mergeCell ref="I7:I8"/>
    <mergeCell ref="P6:U6"/>
    <mergeCell ref="P7:R7"/>
    <mergeCell ref="S7:U7"/>
    <mergeCell ref="N6:N8"/>
    <mergeCell ref="O6:O8"/>
    <mergeCell ref="M7:M8"/>
    <mergeCell ref="K7:K8"/>
  </mergeCells>
  <conditionalFormatting sqref="O10:O34">
    <cfRule type="top10" priority="1" dxfId="1" stopIfTrue="1" rank="3" bottom="1"/>
    <cfRule type="top10" priority="2" dxfId="0" stopIfTrue="1" rank="3"/>
  </conditionalFormatting>
  <printOptions horizontalCentered="1" verticalCentered="1"/>
  <pageMargins left="0.2362204724409449" right="0.2362204724409449" top="0.1968503937007874" bottom="0.1968503937007874" header="0.5118110236220472" footer="0.5118110236220472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3" sqref="F43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97" hidden="1" customWidth="1"/>
    <col min="8" max="8" width="10.28125" style="2" customWidth="1"/>
    <col min="9" max="9" width="10.57421875" style="2" customWidth="1"/>
    <col min="10" max="10" width="11.8515625" style="2" customWidth="1"/>
    <col min="11" max="11" width="10.140625" style="2" customWidth="1"/>
    <col min="12" max="12" width="10.8515625" style="2" customWidth="1"/>
    <col min="13" max="13" width="8.28125" style="2" customWidth="1"/>
    <col min="14" max="14" width="11.28125" style="2" customWidth="1"/>
    <col min="15" max="15" width="11.57421875" style="2" customWidth="1"/>
    <col min="16" max="16" width="11.00390625" style="2" customWidth="1"/>
    <col min="17" max="18" width="11.8515625" style="2" bestFit="1" customWidth="1"/>
    <col min="19" max="19" width="10.140625" style="2" bestFit="1" customWidth="1"/>
    <col min="20" max="20" width="13.28125" style="2" customWidth="1"/>
    <col min="21" max="21" width="14.7109375" style="2" customWidth="1"/>
    <col min="22" max="16384" width="9.140625" style="2" customWidth="1"/>
  </cols>
  <sheetData>
    <row r="1" ht="15">
      <c r="O1" s="76" t="s">
        <v>154</v>
      </c>
    </row>
    <row r="2" spans="2:9" ht="14.25">
      <c r="B2" s="2" t="str">
        <f>'Anne-7'!B2</f>
        <v>No. 1-2(1)/Market Share/2012-CP&amp;M </v>
      </c>
      <c r="I2" s="2" t="str">
        <f>'Anne-7'!I2</f>
        <v>Dated: 19th August 2013.</v>
      </c>
    </row>
    <row r="3" ht="9" customHeight="1"/>
    <row r="4" spans="2:3" ht="15.75">
      <c r="B4" s="29" t="s">
        <v>234</v>
      </c>
      <c r="C4" s="29"/>
    </row>
    <row r="5" spans="4:14" ht="15">
      <c r="D5" s="90">
        <v>1</v>
      </c>
      <c r="E5" s="90">
        <v>2</v>
      </c>
      <c r="F5" s="90"/>
      <c r="G5" s="98">
        <v>3</v>
      </c>
      <c r="H5" s="90">
        <v>3</v>
      </c>
      <c r="I5" s="90">
        <v>4</v>
      </c>
      <c r="J5" s="90">
        <v>5</v>
      </c>
      <c r="K5" s="90">
        <v>6</v>
      </c>
      <c r="L5" s="90">
        <v>7</v>
      </c>
      <c r="M5" s="90">
        <v>8</v>
      </c>
      <c r="N5" s="54"/>
    </row>
    <row r="6" spans="1:19" ht="14.25">
      <c r="A6" s="464" t="s">
        <v>19</v>
      </c>
      <c r="B6" s="464" t="s">
        <v>20</v>
      </c>
      <c r="C6" s="17" t="s">
        <v>18</v>
      </c>
      <c r="D6" s="111"/>
      <c r="E6" s="18"/>
      <c r="F6" s="18"/>
      <c r="G6" s="99"/>
      <c r="H6" s="18"/>
      <c r="I6" s="18"/>
      <c r="J6" s="18"/>
      <c r="K6" s="18"/>
      <c r="L6" s="18"/>
      <c r="M6" s="18"/>
      <c r="N6" s="18"/>
      <c r="O6" s="19"/>
      <c r="P6" s="554" t="s">
        <v>120</v>
      </c>
      <c r="Q6" s="569" t="s">
        <v>1</v>
      </c>
      <c r="R6" s="569"/>
      <c r="S6" s="569"/>
    </row>
    <row r="7" spans="1:19" ht="12.75" customHeight="1">
      <c r="A7" s="464"/>
      <c r="B7" s="464"/>
      <c r="C7" s="580" t="s">
        <v>118</v>
      </c>
      <c r="D7" s="552" t="s">
        <v>96</v>
      </c>
      <c r="E7" s="579" t="s">
        <v>2</v>
      </c>
      <c r="F7" s="551" t="s">
        <v>52</v>
      </c>
      <c r="G7" s="577" t="s">
        <v>17</v>
      </c>
      <c r="H7" s="535" t="s">
        <v>123</v>
      </c>
      <c r="I7" s="573" t="s">
        <v>15</v>
      </c>
      <c r="J7" s="573" t="s">
        <v>16</v>
      </c>
      <c r="K7" s="575" t="s">
        <v>186</v>
      </c>
      <c r="L7" s="575" t="s">
        <v>187</v>
      </c>
      <c r="M7" s="575" t="s">
        <v>204</v>
      </c>
      <c r="N7" s="576" t="s">
        <v>53</v>
      </c>
      <c r="O7" s="465" t="s">
        <v>57</v>
      </c>
      <c r="P7" s="555"/>
      <c r="Q7" s="569"/>
      <c r="R7" s="569"/>
      <c r="S7" s="569"/>
    </row>
    <row r="8" spans="1:19" ht="48" customHeight="1">
      <c r="A8" s="464"/>
      <c r="B8" s="464"/>
      <c r="C8" s="533"/>
      <c r="D8" s="578"/>
      <c r="E8" s="465"/>
      <c r="F8" s="552"/>
      <c r="G8" s="573"/>
      <c r="H8" s="537"/>
      <c r="I8" s="574"/>
      <c r="J8" s="574"/>
      <c r="K8" s="574"/>
      <c r="L8" s="574"/>
      <c r="M8" s="574"/>
      <c r="N8" s="576"/>
      <c r="O8" s="465"/>
      <c r="P8" s="556"/>
      <c r="Q8" s="52" t="s">
        <v>47</v>
      </c>
      <c r="R8" s="45" t="s">
        <v>87</v>
      </c>
      <c r="S8" s="400" t="s">
        <v>88</v>
      </c>
    </row>
    <row r="9" spans="1:26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70"/>
      <c r="H9" s="8"/>
      <c r="I9" s="8"/>
      <c r="J9" s="8"/>
      <c r="K9" s="8"/>
      <c r="L9" s="8"/>
      <c r="M9" s="8"/>
      <c r="N9" s="16"/>
      <c r="O9" s="8">
        <f aca="true" t="shared" si="0" ref="O9:O37">N9+F9</f>
        <v>0</v>
      </c>
      <c r="P9" s="8"/>
      <c r="Q9" s="8">
        <f>R9+S9</f>
        <v>14077</v>
      </c>
      <c r="R9" s="319">
        <v>8120</v>
      </c>
      <c r="S9" s="319">
        <v>5957</v>
      </c>
      <c r="U9" s="2">
        <v>14077</v>
      </c>
      <c r="Z9" s="2">
        <v>85.60482966824058</v>
      </c>
    </row>
    <row r="10" spans="1:26" ht="14.25">
      <c r="A10" s="5">
        <v>2</v>
      </c>
      <c r="B10" s="6" t="s">
        <v>22</v>
      </c>
      <c r="C10" s="85">
        <v>1</v>
      </c>
      <c r="D10" s="8">
        <f>Q10</f>
        <v>1800852</v>
      </c>
      <c r="E10" s="8"/>
      <c r="F10" s="8">
        <f aca="true" t="shared" si="1" ref="F10:F37">SUM(D10:E10)</f>
        <v>1800852</v>
      </c>
      <c r="G10" s="70">
        <v>126070</v>
      </c>
      <c r="H10" s="70">
        <f>G10</f>
        <v>126070</v>
      </c>
      <c r="I10" s="70">
        <v>89120</v>
      </c>
      <c r="J10" s="70">
        <v>164413</v>
      </c>
      <c r="K10" s="8"/>
      <c r="L10" s="8"/>
      <c r="M10" s="8">
        <v>5820</v>
      </c>
      <c r="N10" s="8">
        <f>M10+L10+J10+I10+K10+H10</f>
        <v>385423</v>
      </c>
      <c r="O10" s="8">
        <f t="shared" si="0"/>
        <v>2186275</v>
      </c>
      <c r="P10" s="138">
        <f>D10/O10*100</f>
        <v>82.37079049982276</v>
      </c>
      <c r="Q10" s="8">
        <f aca="true" t="shared" si="2" ref="Q10:Q34">R10+S10</f>
        <v>1800852</v>
      </c>
      <c r="R10" s="319">
        <v>1202441</v>
      </c>
      <c r="S10" s="319">
        <v>598411</v>
      </c>
      <c r="U10" s="2">
        <v>1800852</v>
      </c>
      <c r="Z10" s="2">
        <v>99.80086852457846</v>
      </c>
    </row>
    <row r="11" spans="1:26" ht="14.25">
      <c r="A11" s="5">
        <v>3</v>
      </c>
      <c r="B11" s="6" t="s">
        <v>23</v>
      </c>
      <c r="C11" s="85">
        <v>1</v>
      </c>
      <c r="D11" s="8">
        <f>Q11</f>
        <v>192684</v>
      </c>
      <c r="E11" s="8"/>
      <c r="F11" s="8">
        <f t="shared" si="1"/>
        <v>192684</v>
      </c>
      <c r="G11" s="70"/>
      <c r="H11" s="70"/>
      <c r="I11" s="70"/>
      <c r="J11" s="70"/>
      <c r="K11" s="8"/>
      <c r="L11" s="8"/>
      <c r="M11" s="8">
        <v>660</v>
      </c>
      <c r="N11" s="8">
        <f aca="true" t="shared" si="3" ref="N11:N37">M11+L11+J11+I11+K11+H11</f>
        <v>660</v>
      </c>
      <c r="O11" s="8">
        <f t="shared" si="0"/>
        <v>193344</v>
      </c>
      <c r="P11" s="138">
        <f aca="true" t="shared" si="4" ref="P11:P37">D11/O11*100</f>
        <v>99.65863952333665</v>
      </c>
      <c r="Q11" s="8">
        <f t="shared" si="2"/>
        <v>192684</v>
      </c>
      <c r="R11" s="319">
        <v>155201</v>
      </c>
      <c r="S11" s="319">
        <v>37483</v>
      </c>
      <c r="U11" s="2">
        <v>192684</v>
      </c>
      <c r="Z11" s="2">
        <v>99.29410131832813</v>
      </c>
    </row>
    <row r="12" spans="1:26" ht="14.25">
      <c r="A12" s="5">
        <v>4</v>
      </c>
      <c r="B12" s="6" t="s">
        <v>24</v>
      </c>
      <c r="C12" s="85">
        <v>1</v>
      </c>
      <c r="D12" s="8">
        <f>Q12+Q18</f>
        <v>374935</v>
      </c>
      <c r="E12" s="8"/>
      <c r="F12" s="8">
        <f t="shared" si="1"/>
        <v>374935</v>
      </c>
      <c r="G12" s="70"/>
      <c r="H12" s="70"/>
      <c r="I12" s="70">
        <v>5492</v>
      </c>
      <c r="J12" s="70">
        <v>10662</v>
      </c>
      <c r="K12" s="8"/>
      <c r="L12" s="8"/>
      <c r="M12" s="8">
        <v>180</v>
      </c>
      <c r="N12" s="8">
        <f t="shared" si="3"/>
        <v>16334</v>
      </c>
      <c r="O12" s="8">
        <f t="shared" si="0"/>
        <v>391269</v>
      </c>
      <c r="P12" s="138">
        <f t="shared" si="4"/>
        <v>95.82537844807536</v>
      </c>
      <c r="Q12" s="8">
        <f t="shared" si="2"/>
        <v>215647</v>
      </c>
      <c r="R12" s="319">
        <v>116839</v>
      </c>
      <c r="S12" s="319">
        <v>98808</v>
      </c>
      <c r="U12" s="2">
        <v>215647</v>
      </c>
      <c r="Z12" s="2">
        <v>89.63273485884523</v>
      </c>
    </row>
    <row r="13" spans="1:26" ht="14.25">
      <c r="A13" s="5">
        <v>5</v>
      </c>
      <c r="B13" s="6" t="s">
        <v>25</v>
      </c>
      <c r="C13" s="85"/>
      <c r="D13" s="8"/>
      <c r="E13" s="8"/>
      <c r="F13" s="8">
        <f t="shared" si="1"/>
        <v>0</v>
      </c>
      <c r="G13" s="70">
        <v>55728</v>
      </c>
      <c r="H13" s="70"/>
      <c r="I13" s="70"/>
      <c r="J13" s="70"/>
      <c r="K13" s="8"/>
      <c r="L13" s="8"/>
      <c r="M13" s="8"/>
      <c r="N13" s="8">
        <f t="shared" si="3"/>
        <v>0</v>
      </c>
      <c r="O13" s="8">
        <f t="shared" si="0"/>
        <v>0</v>
      </c>
      <c r="P13" s="138"/>
      <c r="Q13" s="8">
        <f t="shared" si="2"/>
        <v>138575</v>
      </c>
      <c r="R13" s="319">
        <v>117499</v>
      </c>
      <c r="S13" s="319">
        <v>21076</v>
      </c>
      <c r="U13" s="2">
        <v>138575</v>
      </c>
      <c r="Z13" s="2">
        <v>95.65037645182001</v>
      </c>
    </row>
    <row r="14" spans="1:26" ht="14.25">
      <c r="A14" s="5">
        <v>6</v>
      </c>
      <c r="B14" s="6" t="s">
        <v>26</v>
      </c>
      <c r="C14" s="85">
        <v>1</v>
      </c>
      <c r="D14" s="8">
        <f>Q14</f>
        <v>1520502</v>
      </c>
      <c r="E14" s="8"/>
      <c r="F14" s="8">
        <f t="shared" si="1"/>
        <v>1520502</v>
      </c>
      <c r="G14" s="70">
        <v>55573</v>
      </c>
      <c r="H14" s="70">
        <f aca="true" t="shared" si="5" ref="H14:H37">G14</f>
        <v>55573</v>
      </c>
      <c r="I14" s="70">
        <v>98027</v>
      </c>
      <c r="J14" s="70">
        <v>71490</v>
      </c>
      <c r="K14" s="8"/>
      <c r="L14" s="8"/>
      <c r="M14" s="8">
        <v>510</v>
      </c>
      <c r="N14" s="8">
        <f t="shared" si="3"/>
        <v>225600</v>
      </c>
      <c r="O14" s="8">
        <f t="shared" si="0"/>
        <v>1746102</v>
      </c>
      <c r="P14" s="138">
        <f t="shared" si="4"/>
        <v>87.07979258943635</v>
      </c>
      <c r="Q14" s="8">
        <f t="shared" si="2"/>
        <v>1520502</v>
      </c>
      <c r="R14" s="319">
        <v>1173762</v>
      </c>
      <c r="S14" s="319">
        <v>346740</v>
      </c>
      <c r="U14" s="2">
        <v>1520502</v>
      </c>
      <c r="Z14" s="2">
        <v>98.70950073495302</v>
      </c>
    </row>
    <row r="15" spans="1:26" ht="14.25">
      <c r="A15" s="5">
        <v>7</v>
      </c>
      <c r="B15" s="6" t="s">
        <v>27</v>
      </c>
      <c r="C15" s="85">
        <v>1</v>
      </c>
      <c r="D15" s="8">
        <f>Q15</f>
        <v>485272</v>
      </c>
      <c r="E15" s="8"/>
      <c r="F15" s="8">
        <f t="shared" si="1"/>
        <v>485272</v>
      </c>
      <c r="G15" s="70">
        <v>23989</v>
      </c>
      <c r="H15" s="70">
        <f t="shared" si="5"/>
        <v>23989</v>
      </c>
      <c r="I15" s="70">
        <v>5370</v>
      </c>
      <c r="J15" s="70">
        <v>25095</v>
      </c>
      <c r="K15" s="8"/>
      <c r="L15" s="8"/>
      <c r="M15" s="8">
        <v>60</v>
      </c>
      <c r="N15" s="8">
        <f t="shared" si="3"/>
        <v>54514</v>
      </c>
      <c r="O15" s="8">
        <f t="shared" si="0"/>
        <v>539786</v>
      </c>
      <c r="P15" s="138">
        <f t="shared" si="4"/>
        <v>89.90081254423049</v>
      </c>
      <c r="Q15" s="8">
        <f t="shared" si="2"/>
        <v>485272</v>
      </c>
      <c r="R15" s="319">
        <v>327804</v>
      </c>
      <c r="S15" s="319">
        <v>157468</v>
      </c>
      <c r="U15" s="2">
        <v>485272</v>
      </c>
      <c r="Z15" s="2">
        <v>99.97113064460531</v>
      </c>
    </row>
    <row r="16" spans="1:26" ht="14.25">
      <c r="A16" s="5">
        <v>8</v>
      </c>
      <c r="B16" s="6" t="s">
        <v>28</v>
      </c>
      <c r="C16" s="85">
        <v>1</v>
      </c>
      <c r="D16" s="8">
        <f>Q16</f>
        <v>262945</v>
      </c>
      <c r="E16" s="8"/>
      <c r="F16" s="8">
        <f t="shared" si="1"/>
        <v>262945</v>
      </c>
      <c r="G16" s="70"/>
      <c r="H16" s="70"/>
      <c r="I16" s="70">
        <v>4578</v>
      </c>
      <c r="J16" s="70">
        <v>2425</v>
      </c>
      <c r="K16" s="8"/>
      <c r="L16" s="8"/>
      <c r="M16" s="8"/>
      <c r="N16" s="8">
        <f t="shared" si="3"/>
        <v>7003</v>
      </c>
      <c r="O16" s="8">
        <f t="shared" si="0"/>
        <v>269948</v>
      </c>
      <c r="P16" s="138">
        <f t="shared" si="4"/>
        <v>97.40579667195163</v>
      </c>
      <c r="Q16" s="8">
        <f t="shared" si="2"/>
        <v>262945</v>
      </c>
      <c r="R16" s="319">
        <v>60256</v>
      </c>
      <c r="S16" s="319">
        <v>202689</v>
      </c>
      <c r="U16" s="2">
        <v>262945</v>
      </c>
      <c r="Z16" s="2">
        <v>75.71221873871875</v>
      </c>
    </row>
    <row r="17" spans="1:26" ht="14.25">
      <c r="A17" s="5">
        <v>9</v>
      </c>
      <c r="B17" s="6" t="s">
        <v>29</v>
      </c>
      <c r="C17" s="85">
        <v>1</v>
      </c>
      <c r="D17" s="8">
        <f>Q17</f>
        <v>193864</v>
      </c>
      <c r="E17" s="8"/>
      <c r="F17" s="8">
        <f t="shared" si="1"/>
        <v>193864</v>
      </c>
      <c r="G17" s="70"/>
      <c r="H17" s="70"/>
      <c r="I17" s="70"/>
      <c r="J17" s="70"/>
      <c r="K17" s="8"/>
      <c r="L17" s="8"/>
      <c r="M17" s="8"/>
      <c r="N17" s="8">
        <f t="shared" si="3"/>
        <v>0</v>
      </c>
      <c r="O17" s="8">
        <f t="shared" si="0"/>
        <v>193864</v>
      </c>
      <c r="P17" s="138">
        <f t="shared" si="4"/>
        <v>100</v>
      </c>
      <c r="Q17" s="8">
        <f t="shared" si="2"/>
        <v>193864</v>
      </c>
      <c r="R17" s="319">
        <v>158860</v>
      </c>
      <c r="S17" s="319">
        <v>35004</v>
      </c>
      <c r="U17" s="2">
        <v>193864</v>
      </c>
      <c r="Z17" s="2">
        <v>96.67962101031165</v>
      </c>
    </row>
    <row r="18" spans="1:26" ht="14.25">
      <c r="A18" s="5">
        <v>10</v>
      </c>
      <c r="B18" s="6" t="s">
        <v>30</v>
      </c>
      <c r="C18" s="85"/>
      <c r="D18" s="8"/>
      <c r="E18" s="8"/>
      <c r="F18" s="8">
        <f t="shared" si="1"/>
        <v>0</v>
      </c>
      <c r="G18" s="70"/>
      <c r="H18" s="70"/>
      <c r="I18" s="70"/>
      <c r="J18" s="70"/>
      <c r="K18" s="8"/>
      <c r="L18" s="8"/>
      <c r="M18" s="8"/>
      <c r="N18" s="8">
        <f t="shared" si="3"/>
        <v>0</v>
      </c>
      <c r="O18" s="8">
        <f t="shared" si="0"/>
        <v>0</v>
      </c>
      <c r="P18" s="138"/>
      <c r="Q18" s="8">
        <f t="shared" si="2"/>
        <v>159288</v>
      </c>
      <c r="R18" s="319">
        <v>143994</v>
      </c>
      <c r="S18" s="319">
        <v>15294</v>
      </c>
      <c r="U18" s="2">
        <v>159288</v>
      </c>
      <c r="Z18" s="2">
        <v>78.24355311618743</v>
      </c>
    </row>
    <row r="19" spans="1:26" ht="14.25">
      <c r="A19" s="5">
        <v>11</v>
      </c>
      <c r="B19" s="6" t="s">
        <v>31</v>
      </c>
      <c r="C19" s="85">
        <v>1</v>
      </c>
      <c r="D19" s="8">
        <f>Q19</f>
        <v>1649152</v>
      </c>
      <c r="E19" s="8"/>
      <c r="F19" s="8">
        <f t="shared" si="1"/>
        <v>1649152</v>
      </c>
      <c r="G19" s="70">
        <v>493328</v>
      </c>
      <c r="H19" s="70">
        <f t="shared" si="5"/>
        <v>493328</v>
      </c>
      <c r="I19" s="70">
        <v>114433</v>
      </c>
      <c r="J19" s="70">
        <v>144208</v>
      </c>
      <c r="K19" s="8"/>
      <c r="L19" s="8"/>
      <c r="M19" s="8">
        <v>4080</v>
      </c>
      <c r="N19" s="8">
        <f t="shared" si="3"/>
        <v>756049</v>
      </c>
      <c r="O19" s="8">
        <f t="shared" si="0"/>
        <v>2405201</v>
      </c>
      <c r="P19" s="138">
        <f t="shared" si="4"/>
        <v>68.56607826123472</v>
      </c>
      <c r="Q19" s="8">
        <f t="shared" si="2"/>
        <v>1649152</v>
      </c>
      <c r="R19" s="319">
        <v>1280297</v>
      </c>
      <c r="S19" s="319">
        <v>368855</v>
      </c>
      <c r="U19" s="2">
        <v>1649152</v>
      </c>
      <c r="Z19" s="2">
        <v>89.60746703418836</v>
      </c>
    </row>
    <row r="20" spans="1:26" ht="14.25">
      <c r="A20" s="5">
        <v>12</v>
      </c>
      <c r="B20" s="6" t="s">
        <v>32</v>
      </c>
      <c r="C20" s="85">
        <v>1</v>
      </c>
      <c r="D20" s="8">
        <f>Q20</f>
        <v>2912288</v>
      </c>
      <c r="E20" s="8"/>
      <c r="F20" s="8">
        <f t="shared" si="1"/>
        <v>2912288</v>
      </c>
      <c r="G20" s="70">
        <v>56059</v>
      </c>
      <c r="H20" s="70">
        <f>G20</f>
        <v>56059</v>
      </c>
      <c r="I20" s="70">
        <v>53565</v>
      </c>
      <c r="J20" s="70">
        <v>11513</v>
      </c>
      <c r="K20" s="8"/>
      <c r="L20" s="8"/>
      <c r="M20" s="8"/>
      <c r="N20" s="8">
        <f t="shared" si="3"/>
        <v>121137</v>
      </c>
      <c r="O20" s="8">
        <f t="shared" si="0"/>
        <v>3033425</v>
      </c>
      <c r="P20" s="138">
        <f t="shared" si="4"/>
        <v>96.00659320734813</v>
      </c>
      <c r="Q20" s="8">
        <f t="shared" si="2"/>
        <v>2912288</v>
      </c>
      <c r="R20" s="319">
        <v>908772</v>
      </c>
      <c r="S20" s="319">
        <v>2003516</v>
      </c>
      <c r="U20" s="2">
        <v>2912288</v>
      </c>
      <c r="Z20" s="2">
        <v>99.97456889684165</v>
      </c>
    </row>
    <row r="21" spans="1:26" ht="14.25">
      <c r="A21" s="5">
        <v>13</v>
      </c>
      <c r="B21" s="6" t="s">
        <v>33</v>
      </c>
      <c r="C21" s="85">
        <v>1</v>
      </c>
      <c r="D21" s="8">
        <f>Q21+Q13</f>
        <v>830182</v>
      </c>
      <c r="E21" s="8"/>
      <c r="F21" s="8">
        <f t="shared" si="1"/>
        <v>830182</v>
      </c>
      <c r="G21" s="70">
        <v>186785</v>
      </c>
      <c r="H21" s="70">
        <f>G21+G13</f>
        <v>242513</v>
      </c>
      <c r="I21" s="70">
        <v>26291</v>
      </c>
      <c r="J21" s="70">
        <v>16225</v>
      </c>
      <c r="K21" s="8"/>
      <c r="L21" s="8"/>
      <c r="M21" s="8">
        <v>120</v>
      </c>
      <c r="N21" s="8">
        <f t="shared" si="3"/>
        <v>285149</v>
      </c>
      <c r="O21" s="8">
        <f t="shared" si="0"/>
        <v>1115331</v>
      </c>
      <c r="P21" s="138">
        <f t="shared" si="4"/>
        <v>74.43368829522356</v>
      </c>
      <c r="Q21" s="8">
        <f t="shared" si="2"/>
        <v>691607</v>
      </c>
      <c r="R21" s="319">
        <v>554387</v>
      </c>
      <c r="S21" s="319">
        <v>137220</v>
      </c>
      <c r="U21" s="2">
        <v>691607</v>
      </c>
      <c r="Z21" s="2">
        <v>98.60322263014092</v>
      </c>
    </row>
    <row r="22" spans="1:26" ht="14.25">
      <c r="A22" s="5">
        <v>14</v>
      </c>
      <c r="B22" s="6" t="s">
        <v>34</v>
      </c>
      <c r="C22" s="85">
        <v>1</v>
      </c>
      <c r="D22" s="8">
        <f>Q22</f>
        <v>1983732</v>
      </c>
      <c r="E22" s="8"/>
      <c r="F22" s="8">
        <f t="shared" si="1"/>
        <v>1983732</v>
      </c>
      <c r="G22" s="70">
        <v>70533</v>
      </c>
      <c r="H22" s="70">
        <f t="shared" si="5"/>
        <v>70533</v>
      </c>
      <c r="I22" s="70">
        <v>100107</v>
      </c>
      <c r="J22" s="70">
        <v>242966</v>
      </c>
      <c r="K22" s="8"/>
      <c r="L22" s="8"/>
      <c r="M22" s="8">
        <v>3000</v>
      </c>
      <c r="N22" s="8">
        <f t="shared" si="3"/>
        <v>416606</v>
      </c>
      <c r="O22" s="8">
        <f t="shared" si="0"/>
        <v>2400338</v>
      </c>
      <c r="P22" s="138">
        <f t="shared" si="4"/>
        <v>82.6438609895773</v>
      </c>
      <c r="Q22" s="8">
        <f t="shared" si="2"/>
        <v>1983732</v>
      </c>
      <c r="R22" s="319">
        <v>1436095</v>
      </c>
      <c r="S22" s="319">
        <v>547637</v>
      </c>
      <c r="U22" s="2">
        <v>1983732</v>
      </c>
      <c r="Z22" s="2">
        <v>79.92374107626578</v>
      </c>
    </row>
    <row r="23" spans="1:26" ht="14.25">
      <c r="A23" s="5">
        <v>15</v>
      </c>
      <c r="B23" s="6" t="s">
        <v>35</v>
      </c>
      <c r="C23" s="85">
        <v>1</v>
      </c>
      <c r="D23" s="8">
        <f>Q23+Q24</f>
        <v>168172</v>
      </c>
      <c r="E23" s="8"/>
      <c r="F23" s="8">
        <f t="shared" si="1"/>
        <v>168172</v>
      </c>
      <c r="G23" s="70"/>
      <c r="H23" s="70"/>
      <c r="I23" s="70"/>
      <c r="J23" s="70"/>
      <c r="K23" s="8"/>
      <c r="L23" s="8"/>
      <c r="M23" s="8"/>
      <c r="N23" s="8">
        <f t="shared" si="3"/>
        <v>0</v>
      </c>
      <c r="O23" s="8">
        <f t="shared" si="0"/>
        <v>168172</v>
      </c>
      <c r="P23" s="138">
        <f t="shared" si="4"/>
        <v>100</v>
      </c>
      <c r="Q23" s="8">
        <f t="shared" si="2"/>
        <v>104453</v>
      </c>
      <c r="R23" s="319">
        <v>80527</v>
      </c>
      <c r="S23" s="319">
        <v>23926</v>
      </c>
      <c r="U23" s="2">
        <v>104453</v>
      </c>
      <c r="Z23" s="2">
        <v>92.71026885407557</v>
      </c>
    </row>
    <row r="24" spans="1:26" ht="14.25">
      <c r="A24" s="5">
        <v>16</v>
      </c>
      <c r="B24" s="6" t="s">
        <v>36</v>
      </c>
      <c r="C24" s="85"/>
      <c r="D24" s="8"/>
      <c r="E24" s="8"/>
      <c r="F24" s="8"/>
      <c r="G24" s="70"/>
      <c r="H24" s="70"/>
      <c r="I24" s="70"/>
      <c r="J24" s="70"/>
      <c r="K24" s="8"/>
      <c r="L24" s="8"/>
      <c r="M24" s="8"/>
      <c r="N24" s="8">
        <f t="shared" si="3"/>
        <v>0</v>
      </c>
      <c r="O24" s="8">
        <f t="shared" si="0"/>
        <v>0</v>
      </c>
      <c r="P24" s="138"/>
      <c r="Q24" s="8">
        <f t="shared" si="2"/>
        <v>63719</v>
      </c>
      <c r="R24" s="319">
        <v>48116</v>
      </c>
      <c r="S24" s="319">
        <v>15603</v>
      </c>
      <c r="U24" s="2">
        <v>63719</v>
      </c>
      <c r="Z24" s="2">
        <v>91.28337895095608</v>
      </c>
    </row>
    <row r="25" spans="1:26" ht="14.25">
      <c r="A25" s="5">
        <v>17</v>
      </c>
      <c r="B25" s="6" t="s">
        <v>37</v>
      </c>
      <c r="C25" s="85">
        <v>1</v>
      </c>
      <c r="D25" s="8">
        <f>Q25</f>
        <v>357007</v>
      </c>
      <c r="E25" s="8"/>
      <c r="F25" s="8">
        <f t="shared" si="1"/>
        <v>357007</v>
      </c>
      <c r="G25" s="70"/>
      <c r="H25" s="70"/>
      <c r="I25" s="70">
        <v>3622</v>
      </c>
      <c r="J25" s="71">
        <v>6458</v>
      </c>
      <c r="K25" s="8"/>
      <c r="L25" s="8"/>
      <c r="M25" s="8">
        <v>270</v>
      </c>
      <c r="N25" s="8">
        <f t="shared" si="3"/>
        <v>10350</v>
      </c>
      <c r="O25" s="8">
        <f t="shared" si="0"/>
        <v>367357</v>
      </c>
      <c r="P25" s="138">
        <f t="shared" si="4"/>
        <v>97.18257716608095</v>
      </c>
      <c r="Q25" s="8">
        <f>R25+S25</f>
        <v>357007</v>
      </c>
      <c r="R25" s="319">
        <v>252186</v>
      </c>
      <c r="S25" s="319">
        <v>104821</v>
      </c>
      <c r="U25" s="2">
        <v>357007</v>
      </c>
      <c r="Z25" s="2">
        <v>94.06692280432698</v>
      </c>
    </row>
    <row r="26" spans="1:26" ht="14.25">
      <c r="A26" s="5">
        <v>18</v>
      </c>
      <c r="B26" s="6" t="s">
        <v>38</v>
      </c>
      <c r="C26" s="85">
        <v>1</v>
      </c>
      <c r="D26" s="8">
        <f>Q26</f>
        <v>957611</v>
      </c>
      <c r="E26" s="8"/>
      <c r="F26" s="8">
        <f t="shared" si="1"/>
        <v>957611</v>
      </c>
      <c r="G26" s="70">
        <v>106221</v>
      </c>
      <c r="H26" s="70">
        <f t="shared" si="5"/>
        <v>106221</v>
      </c>
      <c r="I26" s="70">
        <v>25069</v>
      </c>
      <c r="J26" s="70">
        <v>16793</v>
      </c>
      <c r="K26" s="70">
        <v>195889</v>
      </c>
      <c r="L26" s="70"/>
      <c r="M26" s="70">
        <v>390</v>
      </c>
      <c r="N26" s="8">
        <f t="shared" si="3"/>
        <v>344362</v>
      </c>
      <c r="O26" s="8">
        <f t="shared" si="0"/>
        <v>1301973</v>
      </c>
      <c r="P26" s="138">
        <f t="shared" si="4"/>
        <v>73.55075719696185</v>
      </c>
      <c r="Q26" s="8">
        <f t="shared" si="2"/>
        <v>957611</v>
      </c>
      <c r="R26" s="319">
        <v>583338</v>
      </c>
      <c r="S26" s="319">
        <v>374273</v>
      </c>
      <c r="U26" s="2">
        <v>957611</v>
      </c>
      <c r="Z26" s="2">
        <v>97.34495055716977</v>
      </c>
    </row>
    <row r="27" spans="1:26" ht="14.25">
      <c r="A27" s="5">
        <v>19</v>
      </c>
      <c r="B27" s="6" t="s">
        <v>39</v>
      </c>
      <c r="C27" s="85">
        <v>1</v>
      </c>
      <c r="D27" s="8">
        <f>Q27</f>
        <v>870498</v>
      </c>
      <c r="E27" s="8"/>
      <c r="F27" s="8">
        <f t="shared" si="1"/>
        <v>870498</v>
      </c>
      <c r="G27" s="70">
        <v>39477</v>
      </c>
      <c r="H27" s="70">
        <f>G27</f>
        <v>39477</v>
      </c>
      <c r="I27" s="70">
        <v>24361</v>
      </c>
      <c r="J27" s="71">
        <v>7003</v>
      </c>
      <c r="K27" s="70"/>
      <c r="L27" s="70">
        <v>53628</v>
      </c>
      <c r="M27" s="70">
        <v>330</v>
      </c>
      <c r="N27" s="8">
        <f t="shared" si="3"/>
        <v>124799</v>
      </c>
      <c r="O27" s="8">
        <f t="shared" si="0"/>
        <v>995297</v>
      </c>
      <c r="P27" s="138">
        <f>D27/O27*100</f>
        <v>87.46112969294593</v>
      </c>
      <c r="Q27" s="8">
        <f t="shared" si="2"/>
        <v>870498</v>
      </c>
      <c r="R27" s="319">
        <v>635880</v>
      </c>
      <c r="S27" s="319">
        <v>234618</v>
      </c>
      <c r="U27" s="2">
        <v>870498</v>
      </c>
      <c r="Z27" s="2">
        <v>99.57320250470293</v>
      </c>
    </row>
    <row r="28" spans="1:26" ht="14.25">
      <c r="A28" s="5">
        <v>20</v>
      </c>
      <c r="B28" s="6" t="s">
        <v>40</v>
      </c>
      <c r="C28" s="85">
        <v>1</v>
      </c>
      <c r="D28" s="8">
        <f>Q28</f>
        <v>1553599</v>
      </c>
      <c r="E28" s="8"/>
      <c r="F28" s="8">
        <f t="shared" si="1"/>
        <v>1553599</v>
      </c>
      <c r="G28" s="70">
        <v>148352</v>
      </c>
      <c r="H28" s="70">
        <f t="shared" si="5"/>
        <v>148352</v>
      </c>
      <c r="I28" s="70">
        <v>38243</v>
      </c>
      <c r="J28" s="70">
        <v>8902</v>
      </c>
      <c r="K28" s="8"/>
      <c r="L28" s="8"/>
      <c r="M28" s="8">
        <v>3090</v>
      </c>
      <c r="N28" s="8">
        <f t="shared" si="3"/>
        <v>198587</v>
      </c>
      <c r="O28" s="8">
        <f t="shared" si="0"/>
        <v>1752186</v>
      </c>
      <c r="P28" s="138">
        <f t="shared" si="4"/>
        <v>88.66632880299238</v>
      </c>
      <c r="Q28" s="8">
        <f t="shared" si="2"/>
        <v>1553599</v>
      </c>
      <c r="R28" s="319">
        <v>1039392</v>
      </c>
      <c r="S28" s="319">
        <v>514207</v>
      </c>
      <c r="U28" s="2">
        <v>1553599</v>
      </c>
      <c r="Z28" s="2">
        <v>86.84519099492839</v>
      </c>
    </row>
    <row r="29" spans="1:26" ht="14.25">
      <c r="A29" s="5">
        <v>21</v>
      </c>
      <c r="B29" s="6" t="s">
        <v>41</v>
      </c>
      <c r="C29" s="85"/>
      <c r="D29" s="8"/>
      <c r="E29" s="8"/>
      <c r="F29" s="8"/>
      <c r="G29" s="70"/>
      <c r="H29" s="70"/>
      <c r="I29" s="70"/>
      <c r="J29" s="70"/>
      <c r="K29" s="8"/>
      <c r="L29" s="8"/>
      <c r="M29" s="8"/>
      <c r="N29" s="8">
        <f t="shared" si="3"/>
        <v>0</v>
      </c>
      <c r="O29" s="8">
        <f t="shared" si="0"/>
        <v>0</v>
      </c>
      <c r="P29" s="138"/>
      <c r="Q29" s="8">
        <f t="shared" si="2"/>
        <v>178150</v>
      </c>
      <c r="R29" s="319">
        <v>139885</v>
      </c>
      <c r="S29" s="319">
        <v>38265</v>
      </c>
      <c r="U29" s="2">
        <v>178150</v>
      </c>
      <c r="Z29" s="2">
        <v>68.69298009921071</v>
      </c>
    </row>
    <row r="30" spans="1:26" ht="14.25">
      <c r="A30" s="5">
        <v>22</v>
      </c>
      <c r="B30" s="6" t="s">
        <v>42</v>
      </c>
      <c r="C30" s="85">
        <v>1</v>
      </c>
      <c r="D30" s="8">
        <f>Q30</f>
        <v>904190</v>
      </c>
      <c r="E30" s="8"/>
      <c r="F30" s="8">
        <f t="shared" si="1"/>
        <v>904190</v>
      </c>
      <c r="G30" s="70">
        <v>50714</v>
      </c>
      <c r="H30" s="70">
        <f t="shared" si="5"/>
        <v>50714</v>
      </c>
      <c r="I30" s="70">
        <v>40362</v>
      </c>
      <c r="J30" s="71">
        <v>13548</v>
      </c>
      <c r="K30" s="8"/>
      <c r="L30" s="8"/>
      <c r="M30" s="8">
        <v>480</v>
      </c>
      <c r="N30" s="8">
        <f t="shared" si="3"/>
        <v>105104</v>
      </c>
      <c r="O30" s="8">
        <f t="shared" si="0"/>
        <v>1009294</v>
      </c>
      <c r="P30" s="138">
        <f t="shared" si="4"/>
        <v>89.5863841457494</v>
      </c>
      <c r="Q30" s="8">
        <f t="shared" si="2"/>
        <v>904190</v>
      </c>
      <c r="R30" s="319">
        <v>662952</v>
      </c>
      <c r="S30" s="319">
        <v>241238</v>
      </c>
      <c r="U30" s="2">
        <v>904190</v>
      </c>
      <c r="Z30" s="2">
        <v>88.91460676253703</v>
      </c>
    </row>
    <row r="31" spans="1:26" ht="14.25">
      <c r="A31" s="5">
        <v>23</v>
      </c>
      <c r="B31" s="6" t="s">
        <v>43</v>
      </c>
      <c r="C31" s="85">
        <v>1</v>
      </c>
      <c r="D31" s="8">
        <f>Q31+Q29</f>
        <v>628187</v>
      </c>
      <c r="E31" s="8"/>
      <c r="F31" s="8">
        <f t="shared" si="1"/>
        <v>628187</v>
      </c>
      <c r="G31" s="70">
        <v>24378</v>
      </c>
      <c r="H31" s="70">
        <f t="shared" si="5"/>
        <v>24378</v>
      </c>
      <c r="I31" s="70">
        <v>5874</v>
      </c>
      <c r="J31" s="71">
        <v>8095</v>
      </c>
      <c r="K31" s="8"/>
      <c r="L31" s="8"/>
      <c r="M31" s="8">
        <v>240</v>
      </c>
      <c r="N31" s="8">
        <f t="shared" si="3"/>
        <v>38587</v>
      </c>
      <c r="O31" s="8">
        <f t="shared" si="0"/>
        <v>666774</v>
      </c>
      <c r="P31" s="138">
        <f t="shared" si="4"/>
        <v>94.21288172604211</v>
      </c>
      <c r="Q31" s="8">
        <f t="shared" si="2"/>
        <v>450037</v>
      </c>
      <c r="R31" s="319">
        <v>388065</v>
      </c>
      <c r="S31" s="319">
        <v>61972</v>
      </c>
      <c r="U31" s="2">
        <v>450037</v>
      </c>
      <c r="Z31" s="2">
        <v>0</v>
      </c>
    </row>
    <row r="32" spans="1:26" ht="14.25">
      <c r="A32" s="5">
        <v>24</v>
      </c>
      <c r="B32" s="6" t="s">
        <v>44</v>
      </c>
      <c r="C32" s="85">
        <v>1</v>
      </c>
      <c r="D32" s="8">
        <f>Q32+Q9</f>
        <v>533067</v>
      </c>
      <c r="E32" s="8"/>
      <c r="F32" s="8">
        <f t="shared" si="1"/>
        <v>533067</v>
      </c>
      <c r="G32" s="70"/>
      <c r="H32" s="70"/>
      <c r="I32" s="70">
        <v>2099</v>
      </c>
      <c r="J32" s="71">
        <v>3762</v>
      </c>
      <c r="K32" s="8"/>
      <c r="L32" s="8"/>
      <c r="M32" s="8"/>
      <c r="N32" s="8">
        <f t="shared" si="3"/>
        <v>5861</v>
      </c>
      <c r="O32" s="8">
        <f t="shared" si="0"/>
        <v>538928</v>
      </c>
      <c r="P32" s="138">
        <f t="shared" si="4"/>
        <v>98.91247068254016</v>
      </c>
      <c r="Q32" s="8">
        <f t="shared" si="2"/>
        <v>518990</v>
      </c>
      <c r="R32" s="319">
        <v>276112</v>
      </c>
      <c r="S32" s="319">
        <v>242878</v>
      </c>
      <c r="U32" s="2">
        <v>518990</v>
      </c>
      <c r="Z32" s="2">
        <v>0</v>
      </c>
    </row>
    <row r="33" spans="1:26" ht="14.25">
      <c r="A33" s="5">
        <v>25</v>
      </c>
      <c r="B33" s="6" t="s">
        <v>45</v>
      </c>
      <c r="C33" s="85">
        <v>1</v>
      </c>
      <c r="D33" s="8">
        <f>Q33</f>
        <v>906311</v>
      </c>
      <c r="E33" s="8"/>
      <c r="F33" s="8">
        <f t="shared" si="1"/>
        <v>906311</v>
      </c>
      <c r="G33" s="70">
        <v>94240</v>
      </c>
      <c r="H33" s="70">
        <f t="shared" si="5"/>
        <v>94240</v>
      </c>
      <c r="I33" s="70">
        <v>81165</v>
      </c>
      <c r="J33" s="70">
        <v>36533</v>
      </c>
      <c r="K33" s="8"/>
      <c r="L33" s="8"/>
      <c r="M33" s="8">
        <v>1530</v>
      </c>
      <c r="N33" s="8">
        <f t="shared" si="3"/>
        <v>213468</v>
      </c>
      <c r="O33" s="8">
        <f t="shared" si="0"/>
        <v>1119779</v>
      </c>
      <c r="P33" s="138">
        <f t="shared" si="4"/>
        <v>80.93659552465263</v>
      </c>
      <c r="Q33" s="8">
        <f t="shared" si="2"/>
        <v>906311</v>
      </c>
      <c r="R33" s="319">
        <v>906311</v>
      </c>
      <c r="S33" s="319">
        <v>0</v>
      </c>
      <c r="U33" s="2">
        <v>906311</v>
      </c>
      <c r="Z33" s="2">
        <v>75.3354056694775</v>
      </c>
    </row>
    <row r="34" spans="1:21" ht="14.25">
      <c r="A34" s="5">
        <v>26</v>
      </c>
      <c r="B34" s="6" t="s">
        <v>46</v>
      </c>
      <c r="C34" s="85">
        <v>1</v>
      </c>
      <c r="D34" s="8">
        <f>Q34</f>
        <v>805246</v>
      </c>
      <c r="E34" s="8"/>
      <c r="F34" s="8">
        <f t="shared" si="1"/>
        <v>805246</v>
      </c>
      <c r="G34" s="70">
        <v>338986</v>
      </c>
      <c r="H34" s="70">
        <f t="shared" si="5"/>
        <v>338986</v>
      </c>
      <c r="I34" s="70">
        <v>109216</v>
      </c>
      <c r="J34" s="70">
        <v>64327</v>
      </c>
      <c r="K34" s="8"/>
      <c r="L34" s="8"/>
      <c r="M34" s="8"/>
      <c r="N34" s="8">
        <f t="shared" si="3"/>
        <v>512529</v>
      </c>
      <c r="O34" s="8">
        <f t="shared" si="0"/>
        <v>1317775</v>
      </c>
      <c r="P34" s="138">
        <f t="shared" si="4"/>
        <v>61.10648631215496</v>
      </c>
      <c r="Q34" s="8">
        <f t="shared" si="2"/>
        <v>805246</v>
      </c>
      <c r="R34" s="319">
        <v>783947</v>
      </c>
      <c r="S34" s="319">
        <v>21299</v>
      </c>
      <c r="U34" s="2">
        <v>805246</v>
      </c>
    </row>
    <row r="35" spans="1:21" ht="15">
      <c r="A35" s="5"/>
      <c r="B35" s="7" t="s">
        <v>47</v>
      </c>
      <c r="C35" s="45">
        <v>1</v>
      </c>
      <c r="D35" s="8">
        <f>SUM(D9:D34)</f>
        <v>19890296</v>
      </c>
      <c r="E35" s="8">
        <f aca="true" t="shared" si="6" ref="E35:M35">SUM(E9:E34)</f>
        <v>0</v>
      </c>
      <c r="F35" s="8">
        <f t="shared" si="6"/>
        <v>19890296</v>
      </c>
      <c r="G35" s="70">
        <f t="shared" si="6"/>
        <v>1870433</v>
      </c>
      <c r="H35" s="70">
        <f t="shared" si="6"/>
        <v>1870433</v>
      </c>
      <c r="I35" s="70">
        <f t="shared" si="6"/>
        <v>826994</v>
      </c>
      <c r="J35" s="70">
        <f t="shared" si="6"/>
        <v>854418</v>
      </c>
      <c r="K35" s="8">
        <f t="shared" si="6"/>
        <v>195889</v>
      </c>
      <c r="L35" s="8">
        <f t="shared" si="6"/>
        <v>53628</v>
      </c>
      <c r="M35" s="8">
        <f t="shared" si="6"/>
        <v>20760</v>
      </c>
      <c r="N35" s="8">
        <f>SUM(N9:N34)</f>
        <v>3822122</v>
      </c>
      <c r="O35" s="8">
        <f>SUM(O9:O34)</f>
        <v>23712418</v>
      </c>
      <c r="P35" s="322">
        <f t="shared" si="4"/>
        <v>83.88134858283959</v>
      </c>
      <c r="Q35" s="31">
        <f>SUM(Q9:Q34)</f>
        <v>19890296</v>
      </c>
      <c r="R35" s="31">
        <f>SUM(R9:R34)</f>
        <v>13441038</v>
      </c>
      <c r="S35" s="31">
        <f>SUM(S9:S34)</f>
        <v>6449258</v>
      </c>
      <c r="U35" s="31">
        <f>SUM(U9:U34)</f>
        <v>19890296</v>
      </c>
    </row>
    <row r="36" spans="1:17" ht="14.25">
      <c r="A36" s="4">
        <v>27</v>
      </c>
      <c r="B36" s="3" t="s">
        <v>48</v>
      </c>
      <c r="C36" s="4"/>
      <c r="D36" s="11"/>
      <c r="E36" s="70">
        <v>1598157</v>
      </c>
      <c r="F36" s="8">
        <f t="shared" si="1"/>
        <v>1598157</v>
      </c>
      <c r="G36" s="70">
        <v>1085845</v>
      </c>
      <c r="H36" s="70">
        <f t="shared" si="5"/>
        <v>1085845</v>
      </c>
      <c r="I36" s="70">
        <v>183362</v>
      </c>
      <c r="J36" s="70">
        <v>91516</v>
      </c>
      <c r="K36" s="8"/>
      <c r="L36" s="8"/>
      <c r="M36" s="8">
        <v>12720</v>
      </c>
      <c r="N36" s="8">
        <f t="shared" si="3"/>
        <v>1373443</v>
      </c>
      <c r="O36" s="8">
        <f t="shared" si="0"/>
        <v>2971600</v>
      </c>
      <c r="P36" s="138">
        <f t="shared" si="4"/>
        <v>0</v>
      </c>
      <c r="Q36" s="32"/>
    </row>
    <row r="37" spans="1:18" ht="14.25">
      <c r="A37" s="4">
        <v>28</v>
      </c>
      <c r="B37" s="3" t="s">
        <v>49</v>
      </c>
      <c r="C37" s="4"/>
      <c r="D37" s="11"/>
      <c r="E37" s="70">
        <v>1953501</v>
      </c>
      <c r="F37" s="8">
        <f t="shared" si="1"/>
        <v>1953501</v>
      </c>
      <c r="G37" s="70">
        <v>332811</v>
      </c>
      <c r="H37" s="70">
        <f t="shared" si="5"/>
        <v>332811</v>
      </c>
      <c r="I37" s="70">
        <v>232478</v>
      </c>
      <c r="J37" s="70">
        <v>524879</v>
      </c>
      <c r="K37" s="8"/>
      <c r="L37" s="8"/>
      <c r="M37" s="8">
        <v>7590</v>
      </c>
      <c r="N37" s="8">
        <f t="shared" si="3"/>
        <v>1097758</v>
      </c>
      <c r="O37" s="8">
        <f t="shared" si="0"/>
        <v>3051259</v>
      </c>
      <c r="P37" s="138">
        <f t="shared" si="4"/>
        <v>0</v>
      </c>
      <c r="Q37" s="32"/>
      <c r="R37" s="23"/>
    </row>
    <row r="38" spans="1:19" ht="15">
      <c r="A38" s="4"/>
      <c r="B38" s="3" t="s">
        <v>50</v>
      </c>
      <c r="C38" s="4">
        <v>1</v>
      </c>
      <c r="D38" s="8">
        <f aca="true" t="shared" si="7" ref="D38:O38">SUM(D35:D37)</f>
        <v>19890296</v>
      </c>
      <c r="E38" s="8">
        <f t="shared" si="7"/>
        <v>3551658</v>
      </c>
      <c r="F38" s="8">
        <f t="shared" si="7"/>
        <v>23441954</v>
      </c>
      <c r="G38" s="93">
        <f t="shared" si="7"/>
        <v>3289089</v>
      </c>
      <c r="H38" s="70">
        <f t="shared" si="7"/>
        <v>3289089</v>
      </c>
      <c r="I38" s="70">
        <f t="shared" si="7"/>
        <v>1242834</v>
      </c>
      <c r="J38" s="70">
        <f t="shared" si="7"/>
        <v>1470813</v>
      </c>
      <c r="K38" s="8">
        <f t="shared" si="7"/>
        <v>195889</v>
      </c>
      <c r="L38" s="8">
        <f t="shared" si="7"/>
        <v>53628</v>
      </c>
      <c r="M38" s="8">
        <f t="shared" si="7"/>
        <v>41070</v>
      </c>
      <c r="N38" s="8">
        <f t="shared" si="7"/>
        <v>6293323</v>
      </c>
      <c r="O38" s="8">
        <f t="shared" si="7"/>
        <v>29735277</v>
      </c>
      <c r="P38" s="322">
        <f>D38/O38*100</f>
        <v>66.89124167230727</v>
      </c>
      <c r="Q38" s="156"/>
      <c r="R38" s="156"/>
      <c r="S38" s="156"/>
    </row>
    <row r="39" spans="1:21" ht="14.25">
      <c r="A39" s="3" t="s">
        <v>51</v>
      </c>
      <c r="B39" s="3"/>
      <c r="C39" s="4"/>
      <c r="D39" s="139">
        <f>D38/O38*100</f>
        <v>66.89124167230727</v>
      </c>
      <c r="E39" s="139">
        <f>E38/O38*100</f>
        <v>11.94425732102647</v>
      </c>
      <c r="F39" s="139">
        <f>F38/O38*100</f>
        <v>78.83549899333374</v>
      </c>
      <c r="G39" s="139">
        <f>G38/O38*100</f>
        <v>11.061235447714175</v>
      </c>
      <c r="H39" s="139">
        <f>H38/O38*100</f>
        <v>11.061235447714175</v>
      </c>
      <c r="I39" s="139">
        <f>I38/O38*100</f>
        <v>4.1796617532770926</v>
      </c>
      <c r="J39" s="139">
        <f>J38/O38*100</f>
        <v>4.946357150128448</v>
      </c>
      <c r="K39" s="139">
        <f>K38/O38*100</f>
        <v>0.65877644253995</v>
      </c>
      <c r="L39" s="139">
        <f>L38/O38*100</f>
        <v>0.1803514391340629</v>
      </c>
      <c r="M39" s="139"/>
      <c r="N39" s="139">
        <f>N38/O38*100</f>
        <v>21.164501006666256</v>
      </c>
      <c r="O39" s="139">
        <f>O38/O38*100</f>
        <v>100</v>
      </c>
      <c r="P39" s="139"/>
      <c r="Q39" s="12"/>
      <c r="U39" s="23"/>
    </row>
    <row r="40" spans="1:17" ht="14.25">
      <c r="A40" s="101"/>
      <c r="B40" s="101"/>
      <c r="C40" s="321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40"/>
      <c r="Q40" s="12"/>
    </row>
    <row r="41" spans="1:17" ht="14.25">
      <c r="A41" s="3" t="str">
        <f>'Anne-7'!A41</f>
        <v>Conn. As on 31.05.2013</v>
      </c>
      <c r="B41" s="3"/>
      <c r="C41" s="4">
        <v>1</v>
      </c>
      <c r="D41" s="8">
        <v>20015790</v>
      </c>
      <c r="E41" s="8">
        <v>3551484</v>
      </c>
      <c r="F41" s="8">
        <v>23567274</v>
      </c>
      <c r="G41" s="8">
        <v>3286099</v>
      </c>
      <c r="H41" s="8">
        <v>3286099</v>
      </c>
      <c r="I41" s="8">
        <v>1242690</v>
      </c>
      <c r="J41" s="8">
        <v>1469049</v>
      </c>
      <c r="K41" s="8">
        <v>193322</v>
      </c>
      <c r="L41" s="8">
        <v>52658</v>
      </c>
      <c r="M41" s="8">
        <v>37560</v>
      </c>
      <c r="N41" s="8">
        <v>6281378</v>
      </c>
      <c r="O41" s="8">
        <v>29848652</v>
      </c>
      <c r="P41" s="138">
        <f>D41/O41*100</f>
        <v>67.05760112717988</v>
      </c>
      <c r="Q41" s="12"/>
    </row>
    <row r="42" spans="1:16" ht="14.25">
      <c r="A42" s="3" t="str">
        <f>'Anne-7'!A42</f>
        <v>Addition during Jun 2013</v>
      </c>
      <c r="B42" s="108"/>
      <c r="C42" s="314">
        <v>8</v>
      </c>
      <c r="D42" s="8">
        <f aca="true" t="shared" si="8" ref="D42:O42">D38-D41</f>
        <v>-125494</v>
      </c>
      <c r="E42" s="8">
        <f t="shared" si="8"/>
        <v>174</v>
      </c>
      <c r="F42" s="8">
        <f t="shared" si="8"/>
        <v>-125320</v>
      </c>
      <c r="G42" s="8">
        <f t="shared" si="8"/>
        <v>2990</v>
      </c>
      <c r="H42" s="8">
        <f t="shared" si="8"/>
        <v>2990</v>
      </c>
      <c r="I42" s="8">
        <f t="shared" si="8"/>
        <v>144</v>
      </c>
      <c r="J42" s="8">
        <f t="shared" si="8"/>
        <v>1764</v>
      </c>
      <c r="K42" s="8">
        <f t="shared" si="8"/>
        <v>2567</v>
      </c>
      <c r="L42" s="8">
        <f t="shared" si="8"/>
        <v>970</v>
      </c>
      <c r="M42" s="8">
        <f t="shared" si="8"/>
        <v>3510</v>
      </c>
      <c r="N42" s="8">
        <f t="shared" si="8"/>
        <v>11945</v>
      </c>
      <c r="O42" s="8">
        <f t="shared" si="8"/>
        <v>-113375</v>
      </c>
      <c r="P42" s="155" t="s">
        <v>130</v>
      </c>
    </row>
    <row r="43" spans="1:16" ht="14.25">
      <c r="A43" s="3" t="str">
        <f>'Anne-7'!A43</f>
        <v>Conn. As on 31.03.2013</v>
      </c>
      <c r="B43" s="108"/>
      <c r="C43" s="4">
        <v>1</v>
      </c>
      <c r="D43" s="8">
        <v>20446062</v>
      </c>
      <c r="E43" s="8">
        <v>3456885</v>
      </c>
      <c r="F43" s="8">
        <v>23902947</v>
      </c>
      <c r="G43" s="8">
        <v>3283070</v>
      </c>
      <c r="H43" s="8">
        <v>3283070</v>
      </c>
      <c r="I43" s="8">
        <v>1242626</v>
      </c>
      <c r="J43" s="8">
        <v>1505999</v>
      </c>
      <c r="K43" s="8">
        <v>187642</v>
      </c>
      <c r="L43" s="8">
        <v>52474</v>
      </c>
      <c r="M43" s="8">
        <v>32910</v>
      </c>
      <c r="N43" s="8">
        <v>6304721</v>
      </c>
      <c r="O43" s="8">
        <v>30207668</v>
      </c>
      <c r="P43" s="138">
        <f>D43/O43*100</f>
        <v>67.68500633680164</v>
      </c>
    </row>
    <row r="44" spans="1:16" ht="14.25">
      <c r="A44" s="3" t="str">
        <f>'Anne-7'!A44</f>
        <v>Addition during 2013-14</v>
      </c>
      <c r="B44" s="108"/>
      <c r="C44" s="4">
        <v>8</v>
      </c>
      <c r="D44" s="8">
        <f aca="true" t="shared" si="9" ref="D44:O44">D38-D43</f>
        <v>-555766</v>
      </c>
      <c r="E44" s="8">
        <f t="shared" si="9"/>
        <v>94773</v>
      </c>
      <c r="F44" s="8">
        <f t="shared" si="9"/>
        <v>-460993</v>
      </c>
      <c r="G44" s="8">
        <f t="shared" si="9"/>
        <v>6019</v>
      </c>
      <c r="H44" s="8">
        <f t="shared" si="9"/>
        <v>6019</v>
      </c>
      <c r="I44" s="8">
        <f t="shared" si="9"/>
        <v>208</v>
      </c>
      <c r="J44" s="8">
        <f t="shared" si="9"/>
        <v>-35186</v>
      </c>
      <c r="K44" s="8">
        <f t="shared" si="9"/>
        <v>8247</v>
      </c>
      <c r="L44" s="8">
        <f t="shared" si="9"/>
        <v>1154</v>
      </c>
      <c r="M44" s="8">
        <f t="shared" si="9"/>
        <v>8160</v>
      </c>
      <c r="N44" s="8">
        <f t="shared" si="9"/>
        <v>-11398</v>
      </c>
      <c r="O44" s="8">
        <f t="shared" si="9"/>
        <v>-472391</v>
      </c>
      <c r="P44" s="155" t="s">
        <v>130</v>
      </c>
    </row>
    <row r="45" spans="1:16" ht="14.25">
      <c r="A45" s="417" t="s">
        <v>237</v>
      </c>
      <c r="B45" s="417"/>
      <c r="C45" s="32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416"/>
    </row>
    <row r="46" spans="1:16" ht="14.25">
      <c r="A46" s="101"/>
      <c r="B46" s="101"/>
      <c r="C46" s="32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416"/>
    </row>
    <row r="47" spans="1:16" ht="14.25">
      <c r="A47" s="101"/>
      <c r="B47" s="101"/>
      <c r="C47" s="32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416"/>
    </row>
    <row r="48" spans="1:16" ht="14.25">
      <c r="A48" s="101"/>
      <c r="B48" s="101"/>
      <c r="C48" s="32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416"/>
    </row>
    <row r="49" spans="1:16" ht="14.25">
      <c r="A49" s="101"/>
      <c r="B49" s="101"/>
      <c r="C49" s="32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416"/>
    </row>
    <row r="50" ht="14.25">
      <c r="B50" s="2" t="s">
        <v>79</v>
      </c>
    </row>
    <row r="51" spans="2:10" ht="14.25">
      <c r="B51" s="2" t="s">
        <v>78</v>
      </c>
      <c r="I51" s="23"/>
      <c r="J51" s="23"/>
    </row>
    <row r="52" spans="2:11" ht="14.25">
      <c r="B52" s="2" t="s">
        <v>74</v>
      </c>
      <c r="K52" s="23"/>
    </row>
    <row r="53" spans="2:10" ht="14.25">
      <c r="B53" s="2" t="s">
        <v>73</v>
      </c>
      <c r="J53" s="23"/>
    </row>
    <row r="54" spans="2:3" ht="15">
      <c r="B54" s="26" t="s">
        <v>77</v>
      </c>
      <c r="C54" s="26"/>
    </row>
    <row r="57" spans="4:15" ht="14.25">
      <c r="D57" s="23">
        <f>D11+D23</f>
        <v>360856</v>
      </c>
      <c r="O57" s="23">
        <f>O11+O23</f>
        <v>361516</v>
      </c>
    </row>
    <row r="59" ht="14.25">
      <c r="D59" s="23" t="e">
        <f>D44+'Anne-7'!D44+'Anne-7'!#REF!</f>
        <v>#REF!</v>
      </c>
    </row>
  </sheetData>
  <sheetProtection/>
  <mergeCells count="17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Q6:S7"/>
    <mergeCell ref="N7:N8"/>
    <mergeCell ref="O7:O8"/>
    <mergeCell ref="K7:K8"/>
    <mergeCell ref="P6:P8"/>
    <mergeCell ref="M7:M8"/>
  </mergeCells>
  <conditionalFormatting sqref="P10:P35">
    <cfRule type="top10" priority="1" dxfId="1" stopIfTrue="1" rank="5" bottom="1"/>
    <cfRule type="top10" priority="2" dxfId="0" stopIfTrue="1" rank="5"/>
  </conditionalFormatting>
  <conditionalFormatting sqref="P9:P35">
    <cfRule type="top10" priority="3" dxfId="1" stopIfTrue="1" rank="5" bottom="1"/>
    <cfRule type="top10" priority="4" dxfId="0" stopIfTrue="1" rank="5"/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2013-08-19T07:15:55Z</cp:lastPrinted>
  <dcterms:created xsi:type="dcterms:W3CDTF">2007-06-20T11:07:42Z</dcterms:created>
  <dcterms:modified xsi:type="dcterms:W3CDTF">2013-08-21T08:47:20Z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